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45" windowWidth="14955" windowHeight="8445"/>
  </bookViews>
  <sheets>
    <sheet name="自動計算" sheetId="1" r:id="rId1"/>
    <sheet name="料金表" sheetId="2" r:id="rId2"/>
  </sheets>
  <definedNames>
    <definedName name="_xlnm.Print_Area" localSheetId="0">自動計算!$B$1:$P$56</definedName>
  </definedNames>
  <calcPr calcId="145621"/>
</workbook>
</file>

<file path=xl/calcChain.xml><?xml version="1.0" encoding="utf-8"?>
<calcChain xmlns="http://schemas.openxmlformats.org/spreadsheetml/2006/main">
  <c r="C52" i="1" l="1"/>
  <c r="H43" i="2" l="1"/>
  <c r="M41" i="1" s="1"/>
  <c r="H44" i="2"/>
  <c r="M42" i="1" s="1"/>
  <c r="H45" i="2"/>
  <c r="M43" i="1" s="1"/>
  <c r="H46" i="2"/>
  <c r="M44" i="1" s="1"/>
  <c r="H47" i="2"/>
  <c r="M45" i="1" s="1"/>
  <c r="H48" i="2"/>
  <c r="M46" i="1" s="1"/>
  <c r="H49" i="2"/>
  <c r="M47" i="1" s="1"/>
  <c r="H50" i="2"/>
  <c r="M48" i="1" s="1"/>
  <c r="H42" i="2"/>
  <c r="J42" i="2" s="1"/>
  <c r="H35" i="2"/>
  <c r="H36" i="2"/>
  <c r="H37" i="2"/>
  <c r="H38" i="2"/>
  <c r="H34" i="2"/>
  <c r="H17" i="2"/>
  <c r="M29" i="1" s="1"/>
  <c r="H18" i="2"/>
  <c r="M30" i="1" s="1"/>
  <c r="H19" i="2"/>
  <c r="M31" i="1" s="1"/>
  <c r="H20" i="2"/>
  <c r="M32" i="1" s="1"/>
  <c r="H16" i="2"/>
  <c r="M28" i="1" s="1"/>
  <c r="H7" i="2"/>
  <c r="J7" i="2" s="1"/>
  <c r="H8" i="2"/>
  <c r="J8" i="2" s="1"/>
  <c r="H9" i="2"/>
  <c r="J9" i="2" s="1"/>
  <c r="H10" i="2"/>
  <c r="J10" i="2" s="1"/>
  <c r="H11" i="2"/>
  <c r="J11" i="2" s="1"/>
  <c r="H12" i="2"/>
  <c r="J12" i="2" s="1"/>
  <c r="H13" i="2"/>
  <c r="J13" i="2" s="1"/>
  <c r="H14" i="2"/>
  <c r="J14" i="2" s="1"/>
  <c r="H6" i="2"/>
  <c r="J6" i="2" s="1"/>
  <c r="C56" i="1" l="1"/>
  <c r="C55" i="1" l="1"/>
  <c r="C54" i="1"/>
  <c r="K13" i="1" l="1"/>
  <c r="O40" i="1" l="1"/>
  <c r="O27" i="1"/>
  <c r="K48" i="1"/>
  <c r="F24" i="1"/>
  <c r="K41" i="1"/>
  <c r="K45" i="1"/>
  <c r="K42" i="1"/>
  <c r="K46" i="1"/>
  <c r="K43" i="1"/>
  <c r="K47" i="1"/>
  <c r="K44" i="1"/>
  <c r="D24" i="1"/>
  <c r="K32" i="1"/>
  <c r="K31" i="1"/>
  <c r="K30" i="1"/>
  <c r="K29" i="1"/>
  <c r="K28" i="1"/>
  <c r="F32" i="1" l="1"/>
  <c r="F31" i="1"/>
  <c r="F30" i="1"/>
  <c r="F29" i="1"/>
  <c r="F28" i="1"/>
  <c r="D32" i="1"/>
  <c r="I32" i="1" l="1"/>
  <c r="D29" i="1"/>
  <c r="D30" i="1"/>
  <c r="D31" i="1"/>
  <c r="I31" i="1" s="1"/>
  <c r="O31" i="1" s="1"/>
  <c r="D28" i="1"/>
  <c r="O32" i="1" l="1"/>
  <c r="G25" i="2"/>
  <c r="H25" i="2" s="1"/>
  <c r="J25" i="2" s="1"/>
  <c r="G26" i="2"/>
  <c r="G27" i="2"/>
  <c r="G28" i="2"/>
  <c r="H28" i="2" s="1"/>
  <c r="J28" i="2" s="1"/>
  <c r="G29" i="2"/>
  <c r="H29" i="2" s="1"/>
  <c r="J29" i="2" s="1"/>
  <c r="G30" i="2"/>
  <c r="G31" i="2"/>
  <c r="G32" i="2"/>
  <c r="G24" i="2"/>
  <c r="H24" i="2" s="1"/>
  <c r="J24" i="2" s="1"/>
  <c r="F38" i="2"/>
  <c r="F37" i="2"/>
  <c r="F36" i="2"/>
  <c r="F35" i="2"/>
  <c r="F34" i="2"/>
  <c r="F29" i="2"/>
  <c r="F28" i="2"/>
  <c r="F25" i="2"/>
  <c r="F24" i="2"/>
  <c r="F7" i="2"/>
  <c r="F8" i="2"/>
  <c r="F9" i="2"/>
  <c r="F10" i="2"/>
  <c r="F11" i="2"/>
  <c r="F12" i="2"/>
  <c r="F13" i="2"/>
  <c r="F14" i="2"/>
  <c r="F20" i="2"/>
  <c r="F19" i="2"/>
  <c r="F18" i="2"/>
  <c r="F17" i="2"/>
  <c r="F16" i="2"/>
  <c r="F6" i="2"/>
  <c r="I19" i="1"/>
  <c r="F31" i="2" l="1"/>
  <c r="H31" i="2"/>
  <c r="J31" i="2" s="1"/>
  <c r="F30" i="2"/>
  <c r="H30" i="2"/>
  <c r="J30" i="2" s="1"/>
  <c r="F26" i="2"/>
  <c r="H26" i="2"/>
  <c r="J26" i="2" s="1"/>
  <c r="F27" i="2"/>
  <c r="H27" i="2"/>
  <c r="J27" i="2" s="1"/>
  <c r="F32" i="2"/>
  <c r="H32" i="2"/>
  <c r="J32" i="2" s="1"/>
  <c r="F37" i="1"/>
  <c r="D37" i="1"/>
  <c r="I29" i="1"/>
  <c r="O29" i="1" s="1"/>
  <c r="I30" i="1"/>
  <c r="O30" i="1" s="1"/>
  <c r="I28" i="1"/>
  <c r="O28" i="1" s="1"/>
  <c r="F43" i="2"/>
  <c r="F44" i="2"/>
  <c r="F45" i="2"/>
  <c r="F46" i="2"/>
  <c r="F47" i="2"/>
  <c r="F48" i="2"/>
  <c r="F49" i="2"/>
  <c r="F50" i="2"/>
  <c r="F42" i="2"/>
  <c r="F42" i="1" l="1"/>
  <c r="F45" i="1"/>
  <c r="D42" i="1"/>
  <c r="F41" i="1"/>
  <c r="D45" i="1"/>
  <c r="D48" i="1"/>
  <c r="F48" i="1"/>
  <c r="F44" i="1"/>
  <c r="D44" i="1"/>
  <c r="D47" i="1"/>
  <c r="F47" i="1"/>
  <c r="F43" i="1"/>
  <c r="D41" i="1"/>
  <c r="D43" i="1"/>
  <c r="D46" i="1"/>
  <c r="F46" i="1"/>
  <c r="O33" i="1"/>
  <c r="D23" i="1" s="1"/>
  <c r="I47" i="1" l="1"/>
  <c r="O47" i="1" s="1"/>
  <c r="I46" i="1" l="1"/>
  <c r="O46" i="1" s="1"/>
  <c r="I45" i="1"/>
  <c r="O45" i="1" s="1"/>
  <c r="I42" i="1"/>
  <c r="O42" i="1" s="1"/>
  <c r="I48" i="1"/>
  <c r="O48" i="1" s="1"/>
  <c r="I44" i="1"/>
  <c r="O44" i="1" s="1"/>
  <c r="I41" i="1"/>
  <c r="O41" i="1" s="1"/>
  <c r="I43" i="1"/>
  <c r="O43" i="1" s="1"/>
  <c r="O49" i="1" l="1"/>
  <c r="D36" i="1" l="1"/>
  <c r="C53" i="1" s="1"/>
</calcChain>
</file>

<file path=xl/sharedStrings.xml><?xml version="1.0" encoding="utf-8"?>
<sst xmlns="http://schemas.openxmlformats.org/spreadsheetml/2006/main" count="166" uniqueCount="67">
  <si>
    <t>基本料金</t>
    <rPh sb="0" eb="2">
      <t>キホン</t>
    </rPh>
    <rPh sb="2" eb="4">
      <t>リョウキン</t>
    </rPh>
    <phoneticPr fontId="2"/>
  </si>
  <si>
    <t>～</t>
  </si>
  <si>
    <t>×</t>
  </si>
  <si>
    <t>=</t>
  </si>
  <si>
    <t>～</t>
    <phoneticPr fontId="2"/>
  </si>
  <si>
    <t>（税込み）</t>
    <rPh sb="1" eb="3">
      <t>ゼイコ</t>
    </rPh>
    <phoneticPr fontId="2"/>
  </si>
  <si>
    <t>下水道使用料</t>
    <rPh sb="0" eb="3">
      <t>ゲスイドウ</t>
    </rPh>
    <rPh sb="3" eb="5">
      <t>シヨウ</t>
    </rPh>
    <rPh sb="5" eb="6">
      <t>リョウ</t>
    </rPh>
    <phoneticPr fontId="2"/>
  </si>
  <si>
    <t>基本使用料</t>
    <rPh sb="0" eb="2">
      <t>キホン</t>
    </rPh>
    <rPh sb="2" eb="4">
      <t>シヨウ</t>
    </rPh>
    <rPh sb="4" eb="5">
      <t>リョウ</t>
    </rPh>
    <phoneticPr fontId="2"/>
  </si>
  <si>
    <t>排出汚水量</t>
    <rPh sb="0" eb="2">
      <t>ハイシュツ</t>
    </rPh>
    <rPh sb="2" eb="4">
      <t>オスイ</t>
    </rPh>
    <rPh sb="4" eb="5">
      <t>リョウ</t>
    </rPh>
    <phoneticPr fontId="2"/>
  </si>
  <si>
    <t>従量使用料
（1㎥あたり）</t>
    <rPh sb="0" eb="2">
      <t>ジュウリョウ</t>
    </rPh>
    <rPh sb="2" eb="4">
      <t>シヨウ</t>
    </rPh>
    <rPh sb="4" eb="5">
      <t>リョウ</t>
    </rPh>
    <phoneticPr fontId="2"/>
  </si>
  <si>
    <t>内訳</t>
    <rPh sb="0" eb="2">
      <t>ウチワケ</t>
    </rPh>
    <phoneticPr fontId="2"/>
  </si>
  <si>
    <t>水道使用量を入力してください</t>
    <rPh sb="0" eb="2">
      <t>スイドウ</t>
    </rPh>
    <rPh sb="2" eb="4">
      <t>シヨウ</t>
    </rPh>
    <rPh sb="4" eb="5">
      <t>リョウ</t>
    </rPh>
    <rPh sb="6" eb="8">
      <t>ニュウリョク</t>
    </rPh>
    <phoneticPr fontId="2"/>
  </si>
  <si>
    <t>㎥</t>
    <phoneticPr fontId="2"/>
  </si>
  <si>
    <t>世帯人数を入力してください</t>
    <rPh sb="0" eb="2">
      <t>セタイ</t>
    </rPh>
    <rPh sb="2" eb="4">
      <t>ニンズウ</t>
    </rPh>
    <rPh sb="5" eb="7">
      <t>ニュウリョク</t>
    </rPh>
    <phoneticPr fontId="2"/>
  </si>
  <si>
    <t>人</t>
    <rPh sb="0" eb="1">
      <t>ニン</t>
    </rPh>
    <phoneticPr fontId="2"/>
  </si>
  <si>
    <t>㎥）</t>
    <phoneticPr fontId="2"/>
  </si>
  <si>
    <t>合計（10円未満は切り捨て）</t>
    <rPh sb="0" eb="2">
      <t>ゴウケイ</t>
    </rPh>
    <rPh sb="5" eb="6">
      <t>エン</t>
    </rPh>
    <rPh sb="6" eb="8">
      <t>ミマン</t>
    </rPh>
    <rPh sb="9" eb="10">
      <t>キ</t>
    </rPh>
    <rPh sb="11" eb="12">
      <t>シャ</t>
    </rPh>
    <phoneticPr fontId="2"/>
  </si>
  <si>
    <t>従量料金</t>
    <rPh sb="0" eb="2">
      <t>ジュウリョウ</t>
    </rPh>
    <rPh sb="2" eb="4">
      <t>リョウキン</t>
    </rPh>
    <phoneticPr fontId="2"/>
  </si>
  <si>
    <t>世帯員の数</t>
    <rPh sb="0" eb="2">
      <t>セタイ</t>
    </rPh>
    <rPh sb="2" eb="3">
      <t>イン</t>
    </rPh>
    <rPh sb="4" eb="5">
      <t>カズ</t>
    </rPh>
    <phoneticPr fontId="2"/>
  </si>
  <si>
    <t>認定水量</t>
    <rPh sb="0" eb="2">
      <t>ニンテイ</t>
    </rPh>
    <rPh sb="2" eb="4">
      <t>スイリョウ</t>
    </rPh>
    <rPh sb="3" eb="4">
      <t>リョウ</t>
    </rPh>
    <phoneticPr fontId="2"/>
  </si>
  <si>
    <t>水道等の種類を選択してください</t>
    <rPh sb="0" eb="2">
      <t>スイドウ</t>
    </rPh>
    <rPh sb="2" eb="3">
      <t>トウ</t>
    </rPh>
    <rPh sb="4" eb="6">
      <t>シュルイ</t>
    </rPh>
    <rPh sb="7" eb="9">
      <t>センタク</t>
    </rPh>
    <phoneticPr fontId="2"/>
  </si>
  <si>
    <t>下水道使用料</t>
    <rPh sb="0" eb="1">
      <t>ゲ</t>
    </rPh>
    <rPh sb="1" eb="3">
      <t>スイドウ</t>
    </rPh>
    <rPh sb="3" eb="6">
      <t>シヨウリョウ</t>
    </rPh>
    <phoneticPr fontId="2"/>
  </si>
  <si>
    <t>消費税率</t>
    <rPh sb="0" eb="3">
      <t>ショウヒゼイ</t>
    </rPh>
    <rPh sb="3" eb="4">
      <t>リツ</t>
    </rPh>
    <phoneticPr fontId="2"/>
  </si>
  <si>
    <t>料金（税込み）</t>
    <rPh sb="0" eb="2">
      <t>リョウキン</t>
    </rPh>
    <rPh sb="3" eb="4">
      <t>ゼイ</t>
    </rPh>
    <rPh sb="4" eb="5">
      <t>コ</t>
    </rPh>
    <phoneticPr fontId="2"/>
  </si>
  <si>
    <t>料金（税抜き）</t>
    <rPh sb="0" eb="2">
      <t>リョウキン</t>
    </rPh>
    <rPh sb="3" eb="4">
      <t>ゼイ</t>
    </rPh>
    <rPh sb="4" eb="5">
      <t>ヌ</t>
    </rPh>
    <phoneticPr fontId="2"/>
  </si>
  <si>
    <t>㎥</t>
    <phoneticPr fontId="2"/>
  </si>
  <si>
    <t>井戸水認定水量</t>
    <rPh sb="0" eb="3">
      <t>イドミズ</t>
    </rPh>
    <rPh sb="3" eb="5">
      <t>ニンテイ</t>
    </rPh>
    <rPh sb="5" eb="7">
      <t>スイリョウ</t>
    </rPh>
    <rPh sb="6" eb="7">
      <t>ヨウスイ</t>
    </rPh>
    <phoneticPr fontId="2"/>
  </si>
  <si>
    <t>水道料金</t>
    <rPh sb="0" eb="2">
      <t>スイドウ</t>
    </rPh>
    <rPh sb="2" eb="4">
      <t>リョウキン</t>
    </rPh>
    <phoneticPr fontId="2"/>
  </si>
  <si>
    <t>【家事用】</t>
    <rPh sb="1" eb="3">
      <t>カジ</t>
    </rPh>
    <rPh sb="3" eb="4">
      <t>ヨウ</t>
    </rPh>
    <phoneticPr fontId="2"/>
  </si>
  <si>
    <t>メーターの口径</t>
    <rPh sb="5" eb="7">
      <t>コウケイ</t>
    </rPh>
    <phoneticPr fontId="2"/>
  </si>
  <si>
    <t>【家事以外用】</t>
    <rPh sb="1" eb="3">
      <t>カジ</t>
    </rPh>
    <rPh sb="3" eb="5">
      <t>イガイ</t>
    </rPh>
    <rPh sb="5" eb="6">
      <t>ヨウ</t>
    </rPh>
    <phoneticPr fontId="2"/>
  </si>
  <si>
    <t>【井戸水】</t>
    <rPh sb="1" eb="3">
      <t>イド</t>
    </rPh>
    <rPh sb="3" eb="4">
      <t>ミズ</t>
    </rPh>
    <phoneticPr fontId="2"/>
  </si>
  <si>
    <t>使用料（税込み）</t>
    <rPh sb="0" eb="3">
      <t>シヨウリョウ</t>
    </rPh>
    <rPh sb="4" eb="5">
      <t>ゼイ</t>
    </rPh>
    <rPh sb="5" eb="6">
      <t>コ</t>
    </rPh>
    <phoneticPr fontId="2"/>
  </si>
  <si>
    <t>使用料（税抜き）</t>
    <rPh sb="0" eb="3">
      <t>シヨウリョウ</t>
    </rPh>
    <rPh sb="4" eb="5">
      <t>ゼイ</t>
    </rPh>
    <rPh sb="5" eb="6">
      <t>ヌ</t>
    </rPh>
    <phoneticPr fontId="2"/>
  </si>
  <si>
    <t>使用水量</t>
    <rPh sb="0" eb="2">
      <t>シヨウ</t>
    </rPh>
    <rPh sb="2" eb="3">
      <t>ハイスイ</t>
    </rPh>
    <rPh sb="3" eb="4">
      <t>リョウ</t>
    </rPh>
    <phoneticPr fontId="2"/>
  </si>
  <si>
    <t>従量料金
（1㎥あたり）</t>
    <rPh sb="0" eb="2">
      <t>ジュウリョウ</t>
    </rPh>
    <rPh sb="2" eb="4">
      <t>リョウキン</t>
    </rPh>
    <phoneticPr fontId="2"/>
  </si>
  <si>
    <t>家事用</t>
  </si>
  <si>
    <t>水道の区分を選択してください</t>
    <rPh sb="0" eb="2">
      <t>スイドウ</t>
    </rPh>
    <rPh sb="3" eb="5">
      <t>クブン</t>
    </rPh>
    <rPh sb="6" eb="8">
      <t>センタク</t>
    </rPh>
    <phoneticPr fontId="2"/>
  </si>
  <si>
    <t>㎜</t>
    <phoneticPr fontId="2"/>
  </si>
  <si>
    <t>メーターの口径を選択してください</t>
    <rPh sb="5" eb="7">
      <t>コウケイ</t>
    </rPh>
    <rPh sb="8" eb="10">
      <t>センタク</t>
    </rPh>
    <phoneticPr fontId="2"/>
  </si>
  <si>
    <t>（使用水量</t>
    <rPh sb="1" eb="3">
      <t>シヨウ</t>
    </rPh>
    <rPh sb="3" eb="5">
      <t>スイリョウ</t>
    </rPh>
    <rPh sb="4" eb="5">
      <t>リョウ</t>
    </rPh>
    <phoneticPr fontId="2"/>
  </si>
  <si>
    <t>基本使用料</t>
    <rPh sb="0" eb="2">
      <t>キホン</t>
    </rPh>
    <rPh sb="2" eb="5">
      <t>シヨウリョウ</t>
    </rPh>
    <phoneticPr fontId="2"/>
  </si>
  <si>
    <t>従量使用料</t>
    <rPh sb="0" eb="2">
      <t>ジュウリョウ</t>
    </rPh>
    <rPh sb="2" eb="5">
      <t>シヨウリョウ</t>
    </rPh>
    <phoneticPr fontId="2"/>
  </si>
  <si>
    <t>合計（1円未満は切り捨て）</t>
    <rPh sb="0" eb="2">
      <t>ゴウケイ</t>
    </rPh>
    <rPh sb="4" eb="5">
      <t>エン</t>
    </rPh>
    <rPh sb="5" eb="7">
      <t>ミマン</t>
    </rPh>
    <rPh sb="8" eb="9">
      <t>キ</t>
    </rPh>
    <rPh sb="10" eb="11">
      <t>シャ</t>
    </rPh>
    <phoneticPr fontId="2"/>
  </si>
  <si>
    <t>井戸に量水器を設置していますか</t>
    <rPh sb="0" eb="2">
      <t>イド</t>
    </rPh>
    <rPh sb="3" eb="6">
      <t>リョウスイキ</t>
    </rPh>
    <rPh sb="7" eb="9">
      <t>セッチ</t>
    </rPh>
    <phoneticPr fontId="2"/>
  </si>
  <si>
    <t>量水器（メーター）なし</t>
  </si>
  <si>
    <t>井戸水の水量を入力してください</t>
    <rPh sb="0" eb="2">
      <t>イド</t>
    </rPh>
    <rPh sb="2" eb="3">
      <t>ミズ</t>
    </rPh>
    <rPh sb="4" eb="6">
      <t>スイリョウ</t>
    </rPh>
    <rPh sb="7" eb="9">
      <t>ニュウリョク</t>
    </rPh>
    <phoneticPr fontId="2"/>
  </si>
  <si>
    <t>戸</t>
    <rPh sb="0" eb="1">
      <t>コ</t>
    </rPh>
    <phoneticPr fontId="2"/>
  </si>
  <si>
    <t>㎥　※集合住宅の1戸あたりの使用水量</t>
    <rPh sb="3" eb="5">
      <t>シュウゴウ</t>
    </rPh>
    <rPh sb="5" eb="7">
      <t>ジュウタク</t>
    </rPh>
    <phoneticPr fontId="2"/>
  </si>
  <si>
    <t>㎥　※集合住宅の1戸あたりの汚水量</t>
    <rPh sb="3" eb="5">
      <t>シュウゴウ</t>
    </rPh>
    <rPh sb="5" eb="7">
      <t>ジュウタク</t>
    </rPh>
    <rPh sb="14" eb="16">
      <t>オスイ</t>
    </rPh>
    <phoneticPr fontId="2"/>
  </si>
  <si>
    <t>※集合住宅において、1個のメーターで一括管理されていますか</t>
    <rPh sb="1" eb="3">
      <t>シュウゴウ</t>
    </rPh>
    <rPh sb="3" eb="5">
      <t>ジュウタク</t>
    </rPh>
    <rPh sb="11" eb="12">
      <t>コ</t>
    </rPh>
    <rPh sb="18" eb="20">
      <t>イッカツ</t>
    </rPh>
    <rPh sb="20" eb="22">
      <t>カンリ</t>
    </rPh>
    <phoneticPr fontId="2"/>
  </si>
  <si>
    <t>※1個のメーターで一括管理されている場合は戸数を入力してください</t>
    <rPh sb="2" eb="3">
      <t>コ</t>
    </rPh>
    <rPh sb="9" eb="11">
      <t>イッカツ</t>
    </rPh>
    <rPh sb="11" eb="13">
      <t>カンリ</t>
    </rPh>
    <rPh sb="18" eb="20">
      <t>バアイ</t>
    </rPh>
    <rPh sb="21" eb="23">
      <t>コスウ</t>
    </rPh>
    <rPh sb="24" eb="26">
      <t>ニュウリョク</t>
    </rPh>
    <phoneticPr fontId="2"/>
  </si>
  <si>
    <t>いいえ</t>
  </si>
  <si>
    <t>（汚水排出量</t>
    <rPh sb="1" eb="3">
      <t>オスイ</t>
    </rPh>
    <rPh sb="3" eb="5">
      <t>ハイシュツ</t>
    </rPh>
    <rPh sb="5" eb="6">
      <t>リョウ</t>
    </rPh>
    <phoneticPr fontId="2"/>
  </si>
  <si>
    <t>下水道使用料</t>
    <rPh sb="0" eb="3">
      <t>ゲスイドウ</t>
    </rPh>
    <rPh sb="3" eb="6">
      <t>シヨウリョウ</t>
    </rPh>
    <phoneticPr fontId="2"/>
  </si>
  <si>
    <t>㎥  までの間 の</t>
    <phoneticPr fontId="2"/>
  </si>
  <si>
    <t>㎥  までの間 の</t>
    <phoneticPr fontId="2"/>
  </si>
  <si>
    <t>㎥  までの間 の</t>
    <phoneticPr fontId="2"/>
  </si>
  <si>
    <t>㎥  までの間 の</t>
    <phoneticPr fontId="2"/>
  </si>
  <si>
    <t>※春日那珂川水道企業団から合算して請求します。</t>
    <rPh sb="1" eb="3">
      <t>カスガ</t>
    </rPh>
    <rPh sb="3" eb="6">
      <t>ナカガワ</t>
    </rPh>
    <rPh sb="6" eb="8">
      <t>スイドウ</t>
    </rPh>
    <rPh sb="8" eb="10">
      <t>キギョウ</t>
    </rPh>
    <rPh sb="10" eb="11">
      <t>ダン</t>
    </rPh>
    <rPh sb="13" eb="15">
      <t>ガッサン</t>
    </rPh>
    <rPh sb="17" eb="19">
      <t>セイキュウ</t>
    </rPh>
    <phoneticPr fontId="2"/>
  </si>
  <si>
    <t>上下水道料金の自動計算表（１期、２ヶ月分）</t>
    <rPh sb="0" eb="2">
      <t>ジョウゲ</t>
    </rPh>
    <rPh sb="2" eb="4">
      <t>ゲスイドウ</t>
    </rPh>
    <rPh sb="4" eb="6">
      <t>リョウキン</t>
    </rPh>
    <rPh sb="7" eb="9">
      <t>ジドウ</t>
    </rPh>
    <rPh sb="9" eb="11">
      <t>ケイサン</t>
    </rPh>
    <rPh sb="11" eb="12">
      <t>ヒョウ</t>
    </rPh>
    <rPh sb="14" eb="15">
      <t>キ</t>
    </rPh>
    <rPh sb="18" eb="19">
      <t>ゲツ</t>
    </rPh>
    <rPh sb="19" eb="20">
      <t>ブン</t>
    </rPh>
    <phoneticPr fontId="2"/>
  </si>
  <si>
    <t>各家庭が均等に水道を使用するものとみなして算定します。</t>
    <rPh sb="0" eb="1">
      <t>カク</t>
    </rPh>
    <rPh sb="1" eb="3">
      <t>カテイ</t>
    </rPh>
    <rPh sb="4" eb="6">
      <t>キントウ</t>
    </rPh>
    <rPh sb="7" eb="9">
      <t>スイドウ</t>
    </rPh>
    <rPh sb="10" eb="12">
      <t>シヨウ</t>
    </rPh>
    <rPh sb="21" eb="23">
      <t>サンテイ</t>
    </rPh>
    <phoneticPr fontId="2"/>
  </si>
  <si>
    <t>改定後消費税率</t>
    <rPh sb="0" eb="2">
      <t>カイテイ</t>
    </rPh>
    <rPh sb="2" eb="3">
      <t>ゴ</t>
    </rPh>
    <rPh sb="3" eb="6">
      <t>ショウヒゼイ</t>
    </rPh>
    <rPh sb="6" eb="7">
      <t>リツ</t>
    </rPh>
    <phoneticPr fontId="2"/>
  </si>
  <si>
    <t>改定後料金（税込み）</t>
    <rPh sb="0" eb="2">
      <t>カイテイ</t>
    </rPh>
    <rPh sb="2" eb="3">
      <t>ゴ</t>
    </rPh>
    <rPh sb="3" eb="5">
      <t>リョウキン</t>
    </rPh>
    <rPh sb="6" eb="7">
      <t>ゼイ</t>
    </rPh>
    <rPh sb="7" eb="8">
      <t>コ</t>
    </rPh>
    <phoneticPr fontId="2"/>
  </si>
  <si>
    <t>消費税率を選択してください</t>
    <rPh sb="0" eb="3">
      <t>ショウヒゼイ</t>
    </rPh>
    <rPh sb="3" eb="4">
      <t>リツ</t>
    </rPh>
    <rPh sb="5" eb="7">
      <t>センタク</t>
    </rPh>
    <phoneticPr fontId="2"/>
  </si>
  <si>
    <t>水道のみ</t>
  </si>
  <si>
    <t>2ヵ月</t>
    <rPh sb="2" eb="3">
      <t>ゲツ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</si>
</sst>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General&quot;㎥&quot;"/>
    <numFmt numFmtId="177" formatCode="#,##0&quot;円&quot;"/>
    <numFmt numFmtId="178" formatCode="#,##0.00&quot;円&quot;"/>
    <numFmt numFmtId="179" formatCode="General&quot;人&quot;"/>
    <numFmt numFmtId="180" formatCode="General&quot;人以上&quot;"/>
    <numFmt numFmtId="181" formatCode="General&quot;㎜&quot;"/>
    <numFmt numFmtId="182" formatCode="General&quot;戸&quot;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2"/>
      <color theme="5" tint="-0.499984740745262"/>
      <name val="ＭＳ Ｐゴシック"/>
      <family val="3"/>
      <charset val="128"/>
    </font>
    <font>
      <sz val="10.5"/>
      <color theme="5" tint="-0.499984740745262"/>
      <name val="ＭＳ Ｐゴシック"/>
      <family val="3"/>
      <charset val="128"/>
    </font>
    <font>
      <sz val="11"/>
      <color theme="5" tint="-0.49998474074526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3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 justifyLastLine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vertical="center" justifyLastLine="1"/>
    </xf>
    <xf numFmtId="0" fontId="8" fillId="0" borderId="0" xfId="0" applyFont="1">
      <alignment vertical="center"/>
    </xf>
    <xf numFmtId="177" fontId="8" fillId="0" borderId="0" xfId="0" applyNumberFormat="1" applyFont="1" applyAlignment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178" fontId="0" fillId="0" borderId="0" xfId="0" applyNumberFormat="1" applyBorder="1" applyAlignment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8" fillId="0" borderId="0" xfId="0" applyNumberFormat="1" applyFont="1" applyAlignment="1">
      <alignment vertical="center"/>
    </xf>
    <xf numFmtId="178" fontId="0" fillId="0" borderId="0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38" fontId="8" fillId="0" borderId="0" xfId="1" applyFont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178" fontId="0" fillId="0" borderId="13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0" fillId="0" borderId="14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178" fontId="0" fillId="0" borderId="12" xfId="0" applyNumberFormat="1" applyBorder="1" applyAlignment="1">
      <alignment vertical="center"/>
    </xf>
    <xf numFmtId="9" fontId="0" fillId="0" borderId="12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176" fontId="0" fillId="0" borderId="12" xfId="0" applyNumberFormat="1" applyBorder="1" applyAlignment="1">
      <alignment vertical="center"/>
    </xf>
    <xf numFmtId="180" fontId="0" fillId="0" borderId="13" xfId="0" applyNumberFormat="1" applyBorder="1" applyAlignment="1">
      <alignment vertical="center"/>
    </xf>
    <xf numFmtId="0" fontId="0" fillId="0" borderId="19" xfId="0" applyBorder="1" applyAlignment="1">
      <alignment horizontal="center" vertical="center"/>
    </xf>
    <xf numFmtId="0" fontId="0" fillId="0" borderId="12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wrapText="1"/>
    </xf>
    <xf numFmtId="176" fontId="0" fillId="0" borderId="0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8" fontId="0" fillId="0" borderId="0" xfId="1" applyNumberFormat="1" applyFont="1" applyBorder="1" applyAlignment="1">
      <alignment vertical="center"/>
    </xf>
    <xf numFmtId="178" fontId="0" fillId="0" borderId="1" xfId="1" applyNumberFormat="1" applyFont="1" applyBorder="1" applyAlignment="1">
      <alignment vertical="center"/>
    </xf>
    <xf numFmtId="177" fontId="0" fillId="0" borderId="23" xfId="1" applyNumberFormat="1" applyFont="1" applyBorder="1" applyAlignment="1">
      <alignment vertical="center"/>
    </xf>
    <xf numFmtId="0" fontId="1" fillId="0" borderId="0" xfId="0" applyFont="1" applyFill="1" applyBorder="1" applyAlignment="1" applyProtection="1">
      <alignment vertical="center"/>
      <protection locked="0"/>
    </xf>
    <xf numFmtId="0" fontId="0" fillId="0" borderId="24" xfId="0" applyFont="1" applyFill="1" applyBorder="1" applyAlignment="1" applyProtection="1">
      <alignment horizontal="center" vertical="center"/>
      <protection locked="0"/>
    </xf>
    <xf numFmtId="0" fontId="0" fillId="0" borderId="24" xfId="0" applyFont="1" applyFill="1" applyBorder="1" applyAlignment="1" applyProtection="1">
      <alignment vertical="center"/>
      <protection locked="0"/>
    </xf>
    <xf numFmtId="38" fontId="1" fillId="0" borderId="24" xfId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8" fontId="0" fillId="0" borderId="0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4" xfId="0" applyFont="1" applyFill="1" applyBorder="1" applyProtection="1">
      <alignment vertical="center"/>
      <protection locked="0"/>
    </xf>
    <xf numFmtId="0" fontId="0" fillId="0" borderId="0" xfId="0" applyAlignment="1">
      <alignment vertical="center"/>
    </xf>
    <xf numFmtId="182" fontId="0" fillId="0" borderId="0" xfId="0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8" fillId="0" borderId="0" xfId="1" applyNumberFormat="1" applyFont="1" applyAlignment="1">
      <alignment horizontal="right" vertical="center"/>
    </xf>
    <xf numFmtId="0" fontId="8" fillId="0" borderId="0" xfId="1" applyNumberFormat="1" applyFont="1" applyAlignment="1">
      <alignment vertical="center"/>
    </xf>
    <xf numFmtId="0" fontId="7" fillId="0" borderId="0" xfId="0" applyFont="1" applyFill="1" applyBorder="1" applyProtection="1">
      <alignment vertical="center"/>
    </xf>
    <xf numFmtId="0" fontId="1" fillId="0" borderId="24" xfId="0" applyFont="1" applyFill="1" applyBorder="1" applyAlignment="1" applyProtection="1">
      <alignment horizontal="center" vertical="center"/>
      <protection locked="0"/>
    </xf>
    <xf numFmtId="0" fontId="0" fillId="0" borderId="0" xfId="0" applyFont="1">
      <alignment vertical="center"/>
    </xf>
    <xf numFmtId="0" fontId="11" fillId="0" borderId="0" xfId="0" applyFont="1">
      <alignment vertical="center"/>
    </xf>
    <xf numFmtId="9" fontId="0" fillId="0" borderId="0" xfId="0" applyNumberFormat="1">
      <alignment vertical="center"/>
    </xf>
    <xf numFmtId="9" fontId="1" fillId="0" borderId="29" xfId="0" applyNumberFormat="1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38" fontId="0" fillId="0" borderId="0" xfId="1" applyFont="1">
      <alignment vertical="center"/>
    </xf>
    <xf numFmtId="0" fontId="0" fillId="0" borderId="12" xfId="0" applyFill="1" applyBorder="1" applyAlignment="1">
      <alignment horizontal="center" vertical="center" shrinkToFit="1"/>
    </xf>
    <xf numFmtId="177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177" fontId="8" fillId="0" borderId="0" xfId="0" applyNumberFormat="1" applyFont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26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1" fillId="0" borderId="25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81" fontId="0" fillId="0" borderId="13" xfId="0" applyNumberFormat="1" applyBorder="1" applyAlignment="1">
      <alignment horizontal="center" vertical="center"/>
    </xf>
    <xf numFmtId="181" fontId="0" fillId="0" borderId="14" xfId="0" applyNumberFormat="1" applyBorder="1" applyAlignment="1">
      <alignment horizontal="center" vertical="center"/>
    </xf>
    <xf numFmtId="181" fontId="0" fillId="0" borderId="15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75"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</dxf>
    <dxf>
      <font>
        <color theme="0"/>
      </font>
      <border>
        <left/>
        <right/>
        <top/>
        <bottom/>
      </border>
    </dxf>
    <dxf>
      <font>
        <color theme="0"/>
      </font>
      <border>
        <left/>
        <right/>
        <top/>
        <bottom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vertical/>
        <horizontal/>
      </border>
    </dxf>
    <dxf>
      <font>
        <color theme="0"/>
      </font>
    </dxf>
    <dxf>
      <font>
        <color theme="0"/>
      </font>
      <border>
        <vertical/>
        <horizontal/>
      </border>
    </dxf>
    <dxf>
      <font>
        <color theme="0"/>
      </font>
    </dxf>
    <dxf>
      <font>
        <color theme="0"/>
      </font>
      <border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  <border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border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</dxf>
    <dxf>
      <font>
        <color theme="0"/>
      </font>
      <border>
        <left/>
        <right/>
        <top/>
        <bottom/>
        <vertical/>
        <horizontal/>
      </border>
    </dxf>
    <dxf>
      <font>
        <color theme="0"/>
      </font>
      <border>
        <vertical/>
        <horizontal/>
      </border>
    </dxf>
    <dxf>
      <font>
        <b/>
        <i val="0"/>
        <color theme="5" tint="-0.499984740745262"/>
      </font>
      <border>
        <left/>
        <right/>
        <top/>
        <bottom/>
      </border>
    </dxf>
    <dxf>
      <font>
        <b/>
        <i val="0"/>
        <color theme="5" tint="-0.499984740745262"/>
      </font>
      <border>
        <left/>
        <right/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P56"/>
  <sheetViews>
    <sheetView showGridLines="0" tabSelected="1" showOutlineSymbols="0" zoomScaleNormal="100" workbookViewId="0">
      <selection activeCell="F4" sqref="F4"/>
    </sheetView>
  </sheetViews>
  <sheetFormatPr defaultColWidth="9" defaultRowHeight="20.100000000000001" customHeight="1"/>
  <cols>
    <col min="1" max="1" width="3.625" customWidth="1"/>
    <col min="2" max="2" width="5.5" customWidth="1"/>
    <col min="3" max="3" width="14.125" customWidth="1"/>
    <col min="4" max="4" width="11.125" customWidth="1"/>
    <col min="5" max="5" width="7.125" customWidth="1"/>
    <col min="6" max="6" width="11" bestFit="1" customWidth="1"/>
    <col min="7" max="7" width="4.25" customWidth="1"/>
    <col min="8" max="8" width="14.125" bestFit="1" customWidth="1"/>
    <col min="9" max="9" width="7.5" customWidth="1"/>
    <col min="10" max="10" width="3.375" bestFit="1" customWidth="1"/>
    <col min="11" max="11" width="6.375" bestFit="1" customWidth="1"/>
    <col min="12" max="12" width="3.375" bestFit="1" customWidth="1"/>
    <col min="13" max="13" width="10.125" bestFit="1" customWidth="1"/>
    <col min="14" max="14" width="6.625" customWidth="1"/>
    <col min="15" max="15" width="15" bestFit="1" customWidth="1"/>
    <col min="16" max="16" width="10.625" customWidth="1"/>
  </cols>
  <sheetData>
    <row r="2" spans="3:16" ht="20.100000000000001" customHeight="1">
      <c r="C2" s="81" t="s">
        <v>60</v>
      </c>
    </row>
    <row r="3" spans="3:16" ht="20.100000000000001" customHeight="1">
      <c r="C3" s="13"/>
    </row>
    <row r="4" spans="3:16" ht="20.100000000000001" customHeight="1">
      <c r="C4" s="19" t="s">
        <v>64</v>
      </c>
      <c r="F4" s="80">
        <v>0.1</v>
      </c>
    </row>
    <row r="6" spans="3:16" ht="20.100000000000001" customHeight="1">
      <c r="C6" s="19" t="s">
        <v>20</v>
      </c>
      <c r="D6" s="16"/>
      <c r="F6" s="91" t="s">
        <v>65</v>
      </c>
      <c r="G6" s="92"/>
      <c r="H6" s="93"/>
    </row>
    <row r="7" spans="3:16" ht="20.100000000000001" customHeight="1">
      <c r="C7" s="19"/>
      <c r="D7" s="16"/>
      <c r="F7" s="52"/>
      <c r="G7" s="52"/>
    </row>
    <row r="8" spans="3:16" ht="20.100000000000001" customHeight="1">
      <c r="C8" s="18" t="s">
        <v>37</v>
      </c>
      <c r="D8" s="15"/>
      <c r="E8" s="15"/>
      <c r="F8" s="53" t="s">
        <v>36</v>
      </c>
      <c r="G8" s="15"/>
    </row>
    <row r="9" spans="3:16" ht="20.100000000000001" customHeight="1">
      <c r="C9" s="18" t="s">
        <v>39</v>
      </c>
      <c r="D9" s="15"/>
      <c r="E9" s="15"/>
      <c r="F9" s="54">
        <v>13</v>
      </c>
      <c r="G9" s="18" t="s">
        <v>38</v>
      </c>
      <c r="H9" s="15"/>
      <c r="I9" s="15"/>
      <c r="J9" s="15"/>
      <c r="K9" s="15"/>
      <c r="L9" s="15"/>
      <c r="M9" s="15"/>
      <c r="N9" s="15"/>
      <c r="O9" s="15"/>
      <c r="P9" s="15"/>
    </row>
    <row r="10" spans="3:16" ht="20.100000000000001" customHeight="1">
      <c r="C10" s="18"/>
      <c r="D10" s="15"/>
      <c r="E10" s="15"/>
      <c r="F10" s="60"/>
      <c r="G10" s="18"/>
      <c r="H10" s="15"/>
      <c r="I10" s="15"/>
      <c r="J10" s="15"/>
      <c r="K10" s="15"/>
      <c r="L10" s="15"/>
      <c r="M10" s="15"/>
      <c r="N10" s="15"/>
      <c r="O10" s="15"/>
      <c r="P10" s="15"/>
    </row>
    <row r="11" spans="3:16" ht="20.100000000000001" customHeight="1">
      <c r="C11" s="18" t="s">
        <v>50</v>
      </c>
      <c r="D11" s="15"/>
      <c r="E11" s="15"/>
      <c r="F11" s="60"/>
      <c r="G11" s="18"/>
      <c r="H11" s="15"/>
      <c r="I11" s="76" t="s">
        <v>52</v>
      </c>
      <c r="J11" s="15"/>
      <c r="K11" s="15"/>
      <c r="L11" s="15"/>
      <c r="M11" s="18"/>
      <c r="N11" s="15"/>
      <c r="O11" s="15"/>
      <c r="P11" s="15"/>
    </row>
    <row r="12" spans="3:16" ht="3" customHeight="1">
      <c r="C12" s="18"/>
      <c r="D12" s="15"/>
      <c r="E12" s="15"/>
      <c r="F12" s="60"/>
      <c r="G12" s="18"/>
      <c r="H12" s="15"/>
      <c r="I12" s="15"/>
      <c r="J12" s="15"/>
      <c r="K12" s="15"/>
      <c r="L12" s="15"/>
      <c r="M12" s="15"/>
      <c r="N12" s="15"/>
      <c r="O12" s="15"/>
      <c r="P12" s="15"/>
    </row>
    <row r="13" spans="3:16" ht="20.100000000000001" customHeight="1">
      <c r="C13" s="18" t="s">
        <v>51</v>
      </c>
      <c r="D13" s="15"/>
      <c r="E13" s="15"/>
      <c r="F13" s="60"/>
      <c r="G13" s="18"/>
      <c r="H13" s="15"/>
      <c r="I13" s="69">
        <v>2</v>
      </c>
      <c r="J13" s="18" t="s">
        <v>47</v>
      </c>
      <c r="K13" s="75">
        <f>IF(F6="水道のみ",IF(I11="はい",IF(I13=0,1,I13),1),1)</f>
        <v>1</v>
      </c>
      <c r="L13" s="78" t="s">
        <v>61</v>
      </c>
      <c r="O13" s="15"/>
      <c r="P13" s="15"/>
    </row>
    <row r="14" spans="3:16" ht="3" customHeight="1">
      <c r="C14" s="18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15"/>
    </row>
    <row r="15" spans="3:16" ht="20.100000000000001" customHeight="1">
      <c r="C15" s="17" t="s">
        <v>11</v>
      </c>
      <c r="F15" s="55">
        <v>30</v>
      </c>
      <c r="G15" s="15" t="s">
        <v>12</v>
      </c>
      <c r="H15" s="15"/>
      <c r="M15" s="15"/>
      <c r="N15" s="15"/>
      <c r="O15" s="15"/>
      <c r="P15" s="15"/>
    </row>
    <row r="16" spans="3:16" ht="3" customHeight="1">
      <c r="C16" s="17"/>
      <c r="F16" s="18"/>
      <c r="G16" s="15"/>
      <c r="H16" s="15"/>
      <c r="M16" s="15"/>
      <c r="N16" s="15"/>
      <c r="O16" s="15"/>
      <c r="P16" s="15"/>
    </row>
    <row r="17" spans="2:16" ht="20.100000000000001" customHeight="1">
      <c r="C17" s="18" t="s">
        <v>44</v>
      </c>
      <c r="F17" s="88" t="s">
        <v>45</v>
      </c>
      <c r="G17" s="89"/>
      <c r="H17" s="90"/>
      <c r="M17" s="15"/>
      <c r="N17" s="15"/>
      <c r="O17" s="15"/>
      <c r="P17" s="15"/>
    </row>
    <row r="18" spans="2:16" ht="3" customHeight="1">
      <c r="C18" s="17"/>
      <c r="F18" s="18"/>
      <c r="G18" s="15"/>
      <c r="H18" s="15"/>
      <c r="M18" s="15"/>
      <c r="N18" s="15"/>
      <c r="O18" s="15"/>
      <c r="P18" s="15"/>
    </row>
    <row r="19" spans="2:16" ht="20.100000000000001" customHeight="1">
      <c r="C19" s="18" t="s">
        <v>13</v>
      </c>
      <c r="D19" s="15"/>
      <c r="E19" s="15"/>
      <c r="F19" s="54">
        <v>3</v>
      </c>
      <c r="G19" s="18" t="s">
        <v>14</v>
      </c>
      <c r="H19" s="22" t="s">
        <v>26</v>
      </c>
      <c r="I19" s="31">
        <f>IF(F6="井戸水のみ",VLOOKUP(F19,料金表!B53:C57,2),VLOOKUP(F19,料金表!B53:C57,2)/2)</f>
        <v>20</v>
      </c>
      <c r="J19" s="23" t="s">
        <v>25</v>
      </c>
      <c r="K19" s="23"/>
      <c r="L19" s="23"/>
      <c r="N19" s="15"/>
    </row>
    <row r="20" spans="2:16" ht="3" customHeight="1">
      <c r="C20" s="18"/>
      <c r="D20" s="15"/>
      <c r="E20" s="15"/>
      <c r="F20" s="18"/>
      <c r="G20" s="18"/>
      <c r="H20" s="22"/>
      <c r="I20" s="31"/>
      <c r="J20" s="23"/>
      <c r="K20" s="23"/>
      <c r="L20" s="23"/>
      <c r="N20" s="15"/>
    </row>
    <row r="21" spans="2:16" ht="20.100000000000001" customHeight="1">
      <c r="C21" s="18" t="s">
        <v>46</v>
      </c>
      <c r="D21" s="15"/>
      <c r="E21" s="15"/>
      <c r="F21" s="54">
        <v>10</v>
      </c>
      <c r="G21" s="18" t="s">
        <v>12</v>
      </c>
      <c r="H21" s="22"/>
      <c r="I21" s="31"/>
      <c r="J21" s="23"/>
      <c r="K21" s="23"/>
      <c r="L21" s="23"/>
      <c r="N21" s="15"/>
    </row>
    <row r="22" spans="2:16" ht="20.100000000000001" customHeight="1">
      <c r="C22" s="18"/>
      <c r="D22" s="15"/>
      <c r="E22" s="15"/>
      <c r="F22" s="60"/>
      <c r="G22" s="15"/>
      <c r="H22" s="22"/>
      <c r="I22" s="31"/>
      <c r="J22" s="23"/>
      <c r="K22" s="23"/>
      <c r="L22" s="23"/>
      <c r="N22" s="15"/>
    </row>
    <row r="23" spans="2:16" ht="20.100000000000001" customHeight="1">
      <c r="C23" s="20" t="s">
        <v>27</v>
      </c>
      <c r="D23" s="86">
        <f>O33</f>
        <v>4994</v>
      </c>
      <c r="E23" s="86"/>
      <c r="G23" s="15"/>
      <c r="J23" s="23"/>
      <c r="K23" s="23"/>
      <c r="L23" s="23"/>
      <c r="N23" s="15"/>
    </row>
    <row r="24" spans="2:16" ht="20.100000000000001" customHeight="1">
      <c r="C24" s="20" t="s">
        <v>40</v>
      </c>
      <c r="D24" s="32">
        <f>IF(F6="井戸水のみ",0,F15)</f>
        <v>30</v>
      </c>
      <c r="E24" s="28" t="s">
        <v>15</v>
      </c>
      <c r="F24" s="73">
        <f>IF(F6="井戸水のみ",0,F15/K13)</f>
        <v>30</v>
      </c>
      <c r="G24" s="28" t="s">
        <v>48</v>
      </c>
      <c r="H24" s="70"/>
      <c r="J24" s="23"/>
      <c r="K24" s="23"/>
      <c r="L24" s="23"/>
      <c r="N24" s="15"/>
    </row>
    <row r="25" spans="2:16" ht="20.100000000000001" customHeight="1" thickBot="1">
      <c r="B25" s="2" t="s">
        <v>10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</row>
    <row r="26" spans="2:16" ht="20.100000000000001" customHeight="1" thickTop="1">
      <c r="B26" s="4"/>
      <c r="C26" s="5" t="s">
        <v>27</v>
      </c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7"/>
    </row>
    <row r="27" spans="2:16" ht="20.100000000000001" customHeight="1">
      <c r="B27" s="8"/>
      <c r="C27" s="2" t="s">
        <v>0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49">
        <f>IF(F4=8%,IF(F6="井戸水のみ",0,IF(F8="家事用",VLOOKUP(F9,料金表!C6:F14,4,FALSE)*K13,VLOOKUP(F9,料金表!C24:F32,4,FALSE)*K13)*2),IF(F6="井戸水のみ",0,IF(F8="家事用",VLOOKUP(F9,料金表!C6:H14,6,FALSE)*K13,VLOOKUP(F9,料金表!C24:H32,6,FALSE)*K13)*2))</f>
        <v>1650.0000000000002</v>
      </c>
      <c r="P27" s="9"/>
    </row>
    <row r="28" spans="2:16" ht="20.100000000000001" customHeight="1">
      <c r="B28" s="8"/>
      <c r="C28" s="2" t="s">
        <v>17</v>
      </c>
      <c r="D28" s="57" t="str">
        <f>IF(F24&gt;0,"1","")</f>
        <v>1</v>
      </c>
      <c r="E28" s="57" t="s">
        <v>1</v>
      </c>
      <c r="F28" s="57">
        <f>IF(AND(F24&gt;=1,F24&lt;=20),F24,20)</f>
        <v>20</v>
      </c>
      <c r="G28" s="87" t="s">
        <v>55</v>
      </c>
      <c r="H28" s="87"/>
      <c r="I28" s="47">
        <f t="shared" ref="I28:I30" si="0">F28-D28+1</f>
        <v>20</v>
      </c>
      <c r="J28" s="59" t="s">
        <v>2</v>
      </c>
      <c r="K28" s="71">
        <f>K13</f>
        <v>1</v>
      </c>
      <c r="L28" s="66" t="s">
        <v>2</v>
      </c>
      <c r="M28" s="63">
        <f>IF(F4=8%,IF(F8="家事用",料金表!F16,料金表!F34),IF(F8="家事用",料金表!H16,料金表!H34))</f>
        <v>51.7</v>
      </c>
      <c r="N28" s="59" t="s">
        <v>3</v>
      </c>
      <c r="O28" s="49">
        <f>IF(F24&lt;1,0,I28*K28*M28)</f>
        <v>1034</v>
      </c>
      <c r="P28" s="9"/>
    </row>
    <row r="29" spans="2:16" ht="20.100000000000001" customHeight="1">
      <c r="B29" s="8"/>
      <c r="C29" s="2"/>
      <c r="D29" s="57" t="str">
        <f>IF(F24&gt;20,"21","")</f>
        <v>21</v>
      </c>
      <c r="E29" s="57" t="s">
        <v>1</v>
      </c>
      <c r="F29" s="57">
        <f>IF(AND(F24&gt;=21,F24&lt;=40),F24,40)</f>
        <v>30</v>
      </c>
      <c r="G29" s="87" t="s">
        <v>56</v>
      </c>
      <c r="H29" s="87"/>
      <c r="I29" s="47">
        <f t="shared" si="0"/>
        <v>10</v>
      </c>
      <c r="J29" s="59" t="s">
        <v>2</v>
      </c>
      <c r="K29" s="71">
        <f>K13</f>
        <v>1</v>
      </c>
      <c r="L29" s="66" t="s">
        <v>2</v>
      </c>
      <c r="M29" s="63">
        <f>IF(F4=8%,IF(F8="家事用",料金表!F17,料金表!F35),IF(F8="家事用",料金表!H17,料金表!H35))</f>
        <v>231.00000000000003</v>
      </c>
      <c r="N29" s="59" t="s">
        <v>3</v>
      </c>
      <c r="O29" s="49">
        <f>IF(F24&lt;21,0,I29*K29*M29)</f>
        <v>2310.0000000000005</v>
      </c>
      <c r="P29" s="9"/>
    </row>
    <row r="30" spans="2:16" ht="20.100000000000001" customHeight="1">
      <c r="B30" s="8"/>
      <c r="C30" s="2"/>
      <c r="D30" s="57" t="str">
        <f>IF(F24&gt;40,"41","")</f>
        <v/>
      </c>
      <c r="E30" s="57" t="s">
        <v>1</v>
      </c>
      <c r="F30" s="57">
        <f>IF(AND(F24&gt;=41,F24&lt;=80),F24,80)</f>
        <v>80</v>
      </c>
      <c r="G30" s="87" t="s">
        <v>56</v>
      </c>
      <c r="H30" s="87"/>
      <c r="I30" s="47" t="e">
        <f t="shared" si="0"/>
        <v>#VALUE!</v>
      </c>
      <c r="J30" s="59" t="s">
        <v>2</v>
      </c>
      <c r="K30" s="71">
        <f>K13</f>
        <v>1</v>
      </c>
      <c r="L30" s="66" t="s">
        <v>2</v>
      </c>
      <c r="M30" s="63">
        <f>IF(F4=8%,IF(F8="家事用",料金表!F18,料金表!F36),IF(F8="家事用",料金表!H18,料金表!H36))</f>
        <v>264</v>
      </c>
      <c r="N30" s="59" t="s">
        <v>3</v>
      </c>
      <c r="O30" s="49">
        <f>IF(F24&lt;41,0,I30*K30*M30)</f>
        <v>0</v>
      </c>
      <c r="P30" s="9"/>
    </row>
    <row r="31" spans="2:16" ht="20.100000000000001" customHeight="1">
      <c r="B31" s="8"/>
      <c r="C31" s="2"/>
      <c r="D31" s="57" t="str">
        <f>IF(F24&gt;80,"81","")</f>
        <v/>
      </c>
      <c r="E31" s="57" t="s">
        <v>1</v>
      </c>
      <c r="F31" s="57">
        <f>IF(AND(F24&gt;=81,F24&lt;=160),F24,160)</f>
        <v>160</v>
      </c>
      <c r="G31" s="87" t="s">
        <v>55</v>
      </c>
      <c r="H31" s="87"/>
      <c r="I31" s="47" t="e">
        <f>F31-D31+1</f>
        <v>#VALUE!</v>
      </c>
      <c r="J31" s="59" t="s">
        <v>2</v>
      </c>
      <c r="K31" s="71">
        <f>K13</f>
        <v>1</v>
      </c>
      <c r="L31" s="66" t="s">
        <v>2</v>
      </c>
      <c r="M31" s="63">
        <f>IF(F4=8%,IF(F8="家事用",料金表!F19,料金表!F37),IF(F8="家事用",料金表!H19,料金表!H37))</f>
        <v>308</v>
      </c>
      <c r="N31" s="59" t="s">
        <v>3</v>
      </c>
      <c r="O31" s="49">
        <f>IF(F24&lt;81,0,I31*K31*M31)</f>
        <v>0</v>
      </c>
      <c r="P31" s="9"/>
    </row>
    <row r="32" spans="2:16" ht="20.100000000000001" customHeight="1">
      <c r="B32" s="8"/>
      <c r="C32" s="1"/>
      <c r="D32" s="56" t="str">
        <f>IF(F24&gt;160,"161","")</f>
        <v/>
      </c>
      <c r="E32" s="56" t="s">
        <v>1</v>
      </c>
      <c r="F32" s="56" t="str">
        <f>IF(F24&gt;160,F24,"")</f>
        <v/>
      </c>
      <c r="G32" s="94" t="s">
        <v>55</v>
      </c>
      <c r="H32" s="94"/>
      <c r="I32" s="48" t="e">
        <f>F32-D32+1</f>
        <v>#VALUE!</v>
      </c>
      <c r="J32" s="58" t="s">
        <v>2</v>
      </c>
      <c r="K32" s="72">
        <f>K13</f>
        <v>1</v>
      </c>
      <c r="L32" s="65" t="s">
        <v>2</v>
      </c>
      <c r="M32" s="64">
        <f>IF(F4=8%,IF(F8="家事用",料金表!F20,料金表!F38),IF(F8="家事用",料金表!H20,料金表!H38))</f>
        <v>352</v>
      </c>
      <c r="N32" s="58" t="s">
        <v>3</v>
      </c>
      <c r="O32" s="50">
        <f>IF(F24&lt;161,0,I32*K32*M32)</f>
        <v>0</v>
      </c>
      <c r="P32" s="9"/>
    </row>
    <row r="33" spans="2:16" ht="20.100000000000001" customHeight="1">
      <c r="B33" s="8"/>
      <c r="C33" s="2" t="s">
        <v>43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51">
        <f>ROUNDDOWN(SUM(O27:P32),0)</f>
        <v>4994</v>
      </c>
      <c r="P33" s="9" t="s">
        <v>5</v>
      </c>
    </row>
    <row r="34" spans="2:16" ht="20.100000000000001" customHeight="1" thickBot="1">
      <c r="B34" s="10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2"/>
    </row>
    <row r="35" spans="2:16" ht="20.100000000000001" customHeight="1" thickTop="1">
      <c r="C35" s="18"/>
      <c r="D35" s="15"/>
      <c r="E35" s="15"/>
      <c r="F35" s="60"/>
      <c r="G35" s="15"/>
      <c r="H35" s="22"/>
      <c r="I35" s="15"/>
      <c r="J35" s="23"/>
      <c r="K35" s="23"/>
      <c r="L35" s="23"/>
      <c r="N35" s="15"/>
    </row>
    <row r="36" spans="2:16" s="14" customFormat="1" ht="20.100000000000001" customHeight="1">
      <c r="C36" s="20" t="s">
        <v>54</v>
      </c>
      <c r="D36" s="86">
        <f>O49</f>
        <v>4530</v>
      </c>
      <c r="E36" s="86"/>
      <c r="M36" s="28"/>
      <c r="N36" s="28"/>
      <c r="O36" s="28"/>
      <c r="P36" s="28"/>
    </row>
    <row r="37" spans="2:16" s="14" customFormat="1" ht="20.100000000000001" customHeight="1">
      <c r="C37" s="20" t="s">
        <v>53</v>
      </c>
      <c r="D37" s="32">
        <f>IF(F6="水道のみ",F15,IF(F6="井戸水のみ",IF(F17="量水器あり",F21,I19),F15+IF(F17="量水器あり",F21,I19)))</f>
        <v>30</v>
      </c>
      <c r="E37" s="21" t="s">
        <v>15</v>
      </c>
      <c r="F37" s="74">
        <f>IF(F6="水道のみ",F15/K13,IF(F6="井戸水のみ",IF(F17="量水器あり",F21,I19),(F15/K13)+IF(F17="量水器あり",F21,I19)))</f>
        <v>30</v>
      </c>
      <c r="G37" s="28" t="s">
        <v>49</v>
      </c>
      <c r="O37" s="32"/>
    </row>
    <row r="38" spans="2:16" ht="20.100000000000001" customHeight="1" thickBot="1">
      <c r="B38" s="2" t="s">
        <v>10</v>
      </c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</row>
    <row r="39" spans="2:16" ht="20.100000000000001" customHeight="1" thickTop="1">
      <c r="B39" s="4"/>
      <c r="C39" s="5" t="s">
        <v>21</v>
      </c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7"/>
    </row>
    <row r="40" spans="2:16" ht="20.100000000000001" customHeight="1">
      <c r="B40" s="8"/>
      <c r="C40" s="2" t="s">
        <v>41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49">
        <f>IF(F4=8%,料金表!F42,料金表!H42)*K13*2</f>
        <v>1540.0000000000002</v>
      </c>
      <c r="P40" s="9"/>
    </row>
    <row r="41" spans="2:16" ht="20.100000000000001" customHeight="1">
      <c r="B41" s="8"/>
      <c r="C41" s="2" t="s">
        <v>42</v>
      </c>
      <c r="D41" s="59" t="str">
        <f>IF(F37&gt;0,"1","")</f>
        <v>1</v>
      </c>
      <c r="E41" s="59" t="s">
        <v>1</v>
      </c>
      <c r="F41" s="59">
        <f>IF(AND(F37&gt;=1,F37&lt;=20),F37,20)</f>
        <v>20</v>
      </c>
      <c r="G41" s="87" t="s">
        <v>55</v>
      </c>
      <c r="H41" s="87"/>
      <c r="I41" s="47">
        <f t="shared" ref="I41:I48" si="1">F41-D41+1</f>
        <v>20</v>
      </c>
      <c r="J41" s="62" t="s">
        <v>2</v>
      </c>
      <c r="K41" s="71">
        <f>K13</f>
        <v>1</v>
      </c>
      <c r="L41" s="67" t="s">
        <v>2</v>
      </c>
      <c r="M41" s="29">
        <f>IF(F4=8%,料金表!F43,料金表!H43)</f>
        <v>59.400000000000006</v>
      </c>
      <c r="N41" s="62" t="s">
        <v>3</v>
      </c>
      <c r="O41" s="49">
        <f>IF(F37&lt;1,0,I41*K41*M41)</f>
        <v>1188</v>
      </c>
      <c r="P41" s="9"/>
    </row>
    <row r="42" spans="2:16" ht="20.100000000000001" customHeight="1">
      <c r="B42" s="8"/>
      <c r="C42" s="2"/>
      <c r="D42" s="59" t="str">
        <f>IF(F37&gt;20,"21","")</f>
        <v>21</v>
      </c>
      <c r="E42" s="59" t="s">
        <v>1</v>
      </c>
      <c r="F42" s="59">
        <f>IF(AND(F37&gt;=21,F37&lt;=40),F37,40)</f>
        <v>30</v>
      </c>
      <c r="G42" s="87" t="s">
        <v>56</v>
      </c>
      <c r="H42" s="87"/>
      <c r="I42" s="47">
        <f t="shared" si="1"/>
        <v>10</v>
      </c>
      <c r="J42" s="62" t="s">
        <v>2</v>
      </c>
      <c r="K42" s="71">
        <f>K13</f>
        <v>1</v>
      </c>
      <c r="L42" s="67" t="s">
        <v>2</v>
      </c>
      <c r="M42" s="29">
        <f>IF(F4=8%,料金表!F44,料金表!H44)</f>
        <v>180.4</v>
      </c>
      <c r="N42" s="62" t="s">
        <v>3</v>
      </c>
      <c r="O42" s="49">
        <f>IF(F37&lt;21,0,I42*K42*M42)</f>
        <v>1804</v>
      </c>
      <c r="P42" s="9"/>
    </row>
    <row r="43" spans="2:16" ht="20.100000000000001" customHeight="1">
      <c r="B43" s="8"/>
      <c r="C43" s="2"/>
      <c r="D43" s="59" t="str">
        <f>IF(F37&gt;40,"41","")</f>
        <v/>
      </c>
      <c r="E43" s="59" t="s">
        <v>1</v>
      </c>
      <c r="F43" s="59">
        <f>IF(AND(F37&gt;=41,F37&lt;=60),F37,60)</f>
        <v>60</v>
      </c>
      <c r="G43" s="87" t="s">
        <v>56</v>
      </c>
      <c r="H43" s="87"/>
      <c r="I43" s="47" t="e">
        <f t="shared" si="1"/>
        <v>#VALUE!</v>
      </c>
      <c r="J43" s="62" t="s">
        <v>2</v>
      </c>
      <c r="K43" s="71">
        <f>K13</f>
        <v>1</v>
      </c>
      <c r="L43" s="67" t="s">
        <v>2</v>
      </c>
      <c r="M43" s="29">
        <f>IF(F4=8%,料金表!F45,料金表!H45)</f>
        <v>214.50000000000003</v>
      </c>
      <c r="N43" s="62" t="s">
        <v>3</v>
      </c>
      <c r="O43" s="49">
        <f>IF(F37&lt;41,0,I43*K43*M43)</f>
        <v>0</v>
      </c>
      <c r="P43" s="9"/>
    </row>
    <row r="44" spans="2:16" ht="20.100000000000001" customHeight="1">
      <c r="B44" s="8"/>
      <c r="C44" s="2"/>
      <c r="D44" s="59" t="str">
        <f>IF(F37&gt;60,"61","")</f>
        <v/>
      </c>
      <c r="E44" s="59" t="s">
        <v>1</v>
      </c>
      <c r="F44" s="59">
        <f>IF(AND(F37&gt;=61,F37&lt;=80),F37,80)</f>
        <v>80</v>
      </c>
      <c r="G44" s="87" t="s">
        <v>56</v>
      </c>
      <c r="H44" s="87"/>
      <c r="I44" s="47" t="e">
        <f t="shared" si="1"/>
        <v>#VALUE!</v>
      </c>
      <c r="J44" s="62" t="s">
        <v>2</v>
      </c>
      <c r="K44" s="71">
        <f>K13</f>
        <v>1</v>
      </c>
      <c r="L44" s="67" t="s">
        <v>2</v>
      </c>
      <c r="M44" s="29">
        <f>IF(F4=8%,料金表!F46,料金表!H46)</f>
        <v>224.4</v>
      </c>
      <c r="N44" s="62" t="s">
        <v>3</v>
      </c>
      <c r="O44" s="49">
        <f>IF(F37&lt;61,0,I44*K44*M44)</f>
        <v>0</v>
      </c>
      <c r="P44" s="9"/>
    </row>
    <row r="45" spans="2:16" ht="20.100000000000001" customHeight="1">
      <c r="B45" s="8"/>
      <c r="C45" s="2"/>
      <c r="D45" s="59" t="str">
        <f>IF(F37&gt;80,"81","")</f>
        <v/>
      </c>
      <c r="E45" s="59" t="s">
        <v>1</v>
      </c>
      <c r="F45" s="59">
        <f>IF(AND(F37&gt;=81,F37&lt;=100),F37,100)</f>
        <v>100</v>
      </c>
      <c r="G45" s="87" t="s">
        <v>57</v>
      </c>
      <c r="H45" s="87"/>
      <c r="I45" s="47" t="e">
        <f t="shared" si="1"/>
        <v>#VALUE!</v>
      </c>
      <c r="J45" s="62" t="s">
        <v>2</v>
      </c>
      <c r="K45" s="71">
        <f>K13</f>
        <v>1</v>
      </c>
      <c r="L45" s="67" t="s">
        <v>2</v>
      </c>
      <c r="M45" s="29">
        <f>IF(F4=8%,料金表!F47,料金表!H47)</f>
        <v>272.8</v>
      </c>
      <c r="N45" s="62" t="s">
        <v>3</v>
      </c>
      <c r="O45" s="49">
        <f>IF(F37&lt;81,0,I45*K45*M45)</f>
        <v>0</v>
      </c>
      <c r="P45" s="9"/>
    </row>
    <row r="46" spans="2:16" ht="20.100000000000001" customHeight="1">
      <c r="B46" s="8"/>
      <c r="C46" s="2"/>
      <c r="D46" s="59" t="str">
        <f>IF(F37&gt;100,"101","")</f>
        <v/>
      </c>
      <c r="E46" s="59" t="s">
        <v>1</v>
      </c>
      <c r="F46" s="59">
        <f>IF(AND(F37&gt;=101,F37&lt;=200),F37,200)</f>
        <v>200</v>
      </c>
      <c r="G46" s="95" t="s">
        <v>58</v>
      </c>
      <c r="H46" s="95"/>
      <c r="I46" s="47" t="e">
        <f t="shared" si="1"/>
        <v>#VALUE!</v>
      </c>
      <c r="J46" s="62" t="s">
        <v>2</v>
      </c>
      <c r="K46" s="71">
        <f>K13</f>
        <v>1</v>
      </c>
      <c r="L46" s="67" t="s">
        <v>2</v>
      </c>
      <c r="M46" s="29">
        <f>IF(F4=8%,料金表!F48,料金表!H48)</f>
        <v>284.90000000000003</v>
      </c>
      <c r="N46" s="62" t="s">
        <v>3</v>
      </c>
      <c r="O46" s="49">
        <f>IF(F37&lt;101,0,I46*K46*M46)</f>
        <v>0</v>
      </c>
      <c r="P46" s="9"/>
    </row>
    <row r="47" spans="2:16" ht="20.100000000000001" customHeight="1">
      <c r="B47" s="8"/>
      <c r="C47" s="2"/>
      <c r="D47" s="59" t="str">
        <f>IF(F37&gt;200,"201","")</f>
        <v/>
      </c>
      <c r="E47" s="59" t="s">
        <v>1</v>
      </c>
      <c r="F47" s="59">
        <f>IF(AND(F37&gt;=201,F37&lt;=1000),F37,1000)</f>
        <v>1000</v>
      </c>
      <c r="G47" s="95" t="s">
        <v>55</v>
      </c>
      <c r="H47" s="95"/>
      <c r="I47" s="47" t="e">
        <f>F47-D47+1</f>
        <v>#VALUE!</v>
      </c>
      <c r="J47" s="62" t="s">
        <v>2</v>
      </c>
      <c r="K47" s="71">
        <f>K13</f>
        <v>1</v>
      </c>
      <c r="L47" s="67" t="s">
        <v>2</v>
      </c>
      <c r="M47" s="29">
        <f>IF(F4=8%,料金表!F49,料金表!H49)</f>
        <v>338.8</v>
      </c>
      <c r="N47" s="62" t="s">
        <v>3</v>
      </c>
      <c r="O47" s="49">
        <f>IF(F37&lt;201,0,I47*K47*M47)</f>
        <v>0</v>
      </c>
      <c r="P47" s="9"/>
    </row>
    <row r="48" spans="2:16" ht="20.100000000000001" customHeight="1">
      <c r="B48" s="8"/>
      <c r="C48" s="1"/>
      <c r="D48" s="58" t="str">
        <f>IF(F37&gt;1000,"1001","")</f>
        <v/>
      </c>
      <c r="E48" s="58" t="s">
        <v>1</v>
      </c>
      <c r="F48" s="58" t="str">
        <f>IF(F37&gt;1000,F37,"")</f>
        <v/>
      </c>
      <c r="G48" s="94" t="s">
        <v>55</v>
      </c>
      <c r="H48" s="94"/>
      <c r="I48" s="48" t="e">
        <f t="shared" si="1"/>
        <v>#VALUE!</v>
      </c>
      <c r="J48" s="61" t="s">
        <v>2</v>
      </c>
      <c r="K48" s="72">
        <f>K13</f>
        <v>1</v>
      </c>
      <c r="L48" s="68" t="s">
        <v>2</v>
      </c>
      <c r="M48" s="30">
        <f>IF(F4=8%,料金表!F50,料金表!H50)</f>
        <v>352</v>
      </c>
      <c r="N48" s="61" t="s">
        <v>3</v>
      </c>
      <c r="O48" s="50">
        <f>IF(F37&lt;1001,0,I48*K48*M48)</f>
        <v>0</v>
      </c>
      <c r="P48" s="9"/>
    </row>
    <row r="49" spans="2:16" ht="20.100000000000001" customHeight="1">
      <c r="B49" s="8"/>
      <c r="C49" s="2" t="s">
        <v>16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51">
        <f>ROUNDDOWN(SUM(O40:P48),-1)</f>
        <v>4530</v>
      </c>
      <c r="P49" s="9" t="s">
        <v>5</v>
      </c>
    </row>
    <row r="50" spans="2:16" ht="20.100000000000001" customHeight="1" thickBot="1">
      <c r="B50" s="10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2"/>
    </row>
    <row r="51" spans="2:16" ht="20.100000000000001" customHeight="1" thickTop="1"/>
    <row r="52" spans="2:16" ht="20.100000000000001" customHeight="1">
      <c r="C52" s="20" t="str">
        <f>"上下水道料金合計　（消費税込み　税率 "&amp;IF(F4=8%,TEXT(料金表!B2,"0%"),TEXT(料金表!H2,"0%"))&amp;" ）"</f>
        <v>上下水道料金合計　（消費税込み　税率 10% ）</v>
      </c>
      <c r="E52" s="70"/>
      <c r="F52" s="70"/>
      <c r="G52" s="79"/>
    </row>
    <row r="53" spans="2:16" ht="20.100000000000001" customHeight="1">
      <c r="C53" s="84">
        <f>D23+D36</f>
        <v>9524</v>
      </c>
      <c r="D53" s="85"/>
      <c r="F53" s="3" t="s">
        <v>59</v>
      </c>
    </row>
    <row r="54" spans="2:16" ht="20.100000000000001" customHeight="1">
      <c r="C54" s="77" t="str">
        <f>IF(F6="井戸水のみ","",IF(F6="水道のみ","","水道料金の")&amp;"お問い合わせ、口座振替のお申込み先は、春日那珂川水道企業団（ＴＥＬ092-571-7002）です。")</f>
        <v>お問い合わせ、口座振替のお申込み先は、春日那珂川水道企業団（ＴＥＬ092-571-7002）です。</v>
      </c>
    </row>
    <row r="55" spans="2:16" ht="20.100000000000001" customHeight="1">
      <c r="C55" t="str">
        <f>IF(F6="水道のみ","","下水道使用料のお問い合わせ、口座振替のお申込み先は、春日市下水道課（ＴＥＬ092-584-1111）です。")</f>
        <v/>
      </c>
    </row>
    <row r="56" spans="2:16" ht="20.100000000000001" customHeight="1">
      <c r="C56" t="str">
        <f>IF(F6="水道のみ","","井戸の使用を変更・中止した場合は下水道課へお知らせください。")</f>
        <v/>
      </c>
    </row>
  </sheetData>
  <sheetProtection password="C765" sheet="1" objects="1" scenarios="1" selectLockedCells="1"/>
  <mergeCells count="18">
    <mergeCell ref="F17:H17"/>
    <mergeCell ref="F6:H6"/>
    <mergeCell ref="G32:H32"/>
    <mergeCell ref="G48:H48"/>
    <mergeCell ref="G45:H45"/>
    <mergeCell ref="G46:H46"/>
    <mergeCell ref="G47:H47"/>
    <mergeCell ref="G41:H41"/>
    <mergeCell ref="G42:H42"/>
    <mergeCell ref="G43:H43"/>
    <mergeCell ref="G44:H44"/>
    <mergeCell ref="G31:H31"/>
    <mergeCell ref="C53:D53"/>
    <mergeCell ref="D23:E23"/>
    <mergeCell ref="G28:H28"/>
    <mergeCell ref="G29:H29"/>
    <mergeCell ref="G30:H30"/>
    <mergeCell ref="D36:E36"/>
  </mergeCells>
  <phoneticPr fontId="2"/>
  <conditionalFormatting sqref="I19:I22">
    <cfRule type="expression" dxfId="74" priority="310" stopIfTrue="1">
      <formula>$F$6="井戸水のみ"</formula>
    </cfRule>
    <cfRule type="expression" dxfId="73" priority="311" stopIfTrue="1">
      <formula>$F$6="水道と井戸水の併用"</formula>
    </cfRule>
  </conditionalFormatting>
  <conditionalFormatting sqref="C8">
    <cfRule type="expression" dxfId="72" priority="198">
      <formula>F6="井戸水のみ"</formula>
    </cfRule>
  </conditionalFormatting>
  <conditionalFormatting sqref="F8">
    <cfRule type="expression" dxfId="71" priority="197">
      <formula>F6="井戸水のみ"</formula>
    </cfRule>
  </conditionalFormatting>
  <conditionalFormatting sqref="C9:C10">
    <cfRule type="expression" dxfId="70" priority="196">
      <formula>F6="井戸水のみ"</formula>
    </cfRule>
  </conditionalFormatting>
  <conditionalFormatting sqref="F9:F11">
    <cfRule type="expression" dxfId="69" priority="195">
      <formula>F6="井戸水のみ"</formula>
    </cfRule>
  </conditionalFormatting>
  <conditionalFormatting sqref="G9:G11">
    <cfRule type="expression" dxfId="68" priority="194">
      <formula>F6="井戸水のみ"</formula>
    </cfRule>
  </conditionalFormatting>
  <conditionalFormatting sqref="C15:C16 C18">
    <cfRule type="expression" dxfId="67" priority="193">
      <formula>F6="井戸水のみ"</formula>
    </cfRule>
  </conditionalFormatting>
  <conditionalFormatting sqref="G15:G16 G18">
    <cfRule type="expression" dxfId="66" priority="192">
      <formula>F6="井戸水のみ"</formula>
    </cfRule>
  </conditionalFormatting>
  <conditionalFormatting sqref="F15">
    <cfRule type="expression" dxfId="65" priority="191">
      <formula>F6="井戸水のみ"</formula>
    </cfRule>
  </conditionalFormatting>
  <conditionalFormatting sqref="F14 C14 F16">
    <cfRule type="expression" dxfId="64" priority="189">
      <formula>F7="井戸水のみ"</formula>
    </cfRule>
  </conditionalFormatting>
  <conditionalFormatting sqref="F18">
    <cfRule type="expression" dxfId="63" priority="188">
      <formula>I15="井戸水のみ"</formula>
    </cfRule>
  </conditionalFormatting>
  <conditionalFormatting sqref="F19">
    <cfRule type="expression" dxfId="62" priority="65">
      <formula>$F$17="量水器あり"</formula>
    </cfRule>
    <cfRule type="expression" dxfId="61" priority="186">
      <formula>F6="水道のみ"</formula>
    </cfRule>
  </conditionalFormatting>
  <conditionalFormatting sqref="I35 G35">
    <cfRule type="expression" dxfId="60" priority="177">
      <formula>F31="水道のみ"</formula>
    </cfRule>
  </conditionalFormatting>
  <conditionalFormatting sqref="C35">
    <cfRule type="expression" dxfId="59" priority="329">
      <formula>F31="水道のみ"</formula>
    </cfRule>
  </conditionalFormatting>
  <conditionalFormatting sqref="F35">
    <cfRule type="expression" dxfId="58" priority="331">
      <formula>F31="水道のみ"</formula>
    </cfRule>
  </conditionalFormatting>
  <conditionalFormatting sqref="O27">
    <cfRule type="expression" dxfId="57" priority="87">
      <formula>$F$6="井戸水のみ"</formula>
    </cfRule>
  </conditionalFormatting>
  <conditionalFormatting sqref="O33">
    <cfRule type="expression" dxfId="56" priority="73">
      <formula>$F$6="井戸水のみ"</formula>
    </cfRule>
  </conditionalFormatting>
  <conditionalFormatting sqref="C22">
    <cfRule type="expression" dxfId="55" priority="351">
      <formula>F7="水道のみ"</formula>
    </cfRule>
  </conditionalFormatting>
  <conditionalFormatting sqref="G22:G23">
    <cfRule type="expression" dxfId="54" priority="353">
      <formula>F7="水道のみ"</formula>
    </cfRule>
  </conditionalFormatting>
  <conditionalFormatting sqref="F22">
    <cfRule type="expression" dxfId="53" priority="355">
      <formula>F7="水道のみ"</formula>
    </cfRule>
  </conditionalFormatting>
  <conditionalFormatting sqref="C21">
    <cfRule type="expression" dxfId="52" priority="58">
      <formula>$F$17="量水器（メーター）なし"</formula>
    </cfRule>
    <cfRule type="expression" dxfId="51" priority="72">
      <formula>F6="水道のみ"</formula>
    </cfRule>
  </conditionalFormatting>
  <conditionalFormatting sqref="G21">
    <cfRule type="expression" dxfId="50" priority="56">
      <formula>$F$17="量水器（メーター）なし"</formula>
    </cfRule>
    <cfRule type="expression" dxfId="49" priority="71">
      <formula>F6="水道のみ"</formula>
    </cfRule>
  </conditionalFormatting>
  <conditionalFormatting sqref="F21">
    <cfRule type="expression" dxfId="48" priority="57">
      <formula>$F$17="量水器（メーター）なし"</formula>
    </cfRule>
    <cfRule type="expression" dxfId="47" priority="70">
      <formula>F6="水道のみ"</formula>
    </cfRule>
  </conditionalFormatting>
  <conditionalFormatting sqref="F17">
    <cfRule type="expression" dxfId="46" priority="69">
      <formula>F15="井戸水のみ"</formula>
    </cfRule>
  </conditionalFormatting>
  <conditionalFormatting sqref="C17">
    <cfRule type="expression" dxfId="45" priority="68">
      <formula>F6="水道のみ"</formula>
    </cfRule>
  </conditionalFormatting>
  <conditionalFormatting sqref="C19:C20">
    <cfRule type="expression" dxfId="44" priority="66">
      <formula>$F$17="量水器あり"</formula>
    </cfRule>
    <cfRule type="expression" dxfId="43" priority="67">
      <formula>F6="水道のみ"</formula>
    </cfRule>
  </conditionalFormatting>
  <conditionalFormatting sqref="G19:G20">
    <cfRule type="expression" dxfId="42" priority="63">
      <formula>$F$17="量水器あり"</formula>
    </cfRule>
    <cfRule type="expression" dxfId="41" priority="64">
      <formula>F6="水道のみ"</formula>
    </cfRule>
  </conditionalFormatting>
  <conditionalFormatting sqref="H19:H20">
    <cfRule type="expression" dxfId="40" priority="62">
      <formula>$F$17="量水器あり"</formula>
    </cfRule>
  </conditionalFormatting>
  <conditionalFormatting sqref="I19:I20">
    <cfRule type="expression" dxfId="39" priority="61">
      <formula>$F$17="量水器あり"</formula>
    </cfRule>
  </conditionalFormatting>
  <conditionalFormatting sqref="J19:L20">
    <cfRule type="expression" dxfId="38" priority="60">
      <formula>$F$17="量水器あり"</formula>
    </cfRule>
  </conditionalFormatting>
  <conditionalFormatting sqref="F20">
    <cfRule type="expression" dxfId="37" priority="59">
      <formula>I17="井戸水のみ"</formula>
    </cfRule>
  </conditionalFormatting>
  <conditionalFormatting sqref="H19">
    <cfRule type="expression" dxfId="36" priority="55">
      <formula>$F$6="水道のみ"</formula>
    </cfRule>
  </conditionalFormatting>
  <conditionalFormatting sqref="J19:L19">
    <cfRule type="expression" dxfId="35" priority="54">
      <formula>$F$6="水道のみ"</formula>
    </cfRule>
  </conditionalFormatting>
  <conditionalFormatting sqref="F17:H17">
    <cfRule type="expression" dxfId="34" priority="53">
      <formula>$F$6="水道のみ"</formula>
    </cfRule>
  </conditionalFormatting>
  <conditionalFormatting sqref="G14">
    <cfRule type="expression" dxfId="33" priority="359">
      <formula>F7="井戸水のみ"</formula>
    </cfRule>
  </conditionalFormatting>
  <conditionalFormatting sqref="D41:O41">
    <cfRule type="expression" dxfId="32" priority="369">
      <formula>$F$37&lt;1</formula>
    </cfRule>
  </conditionalFormatting>
  <conditionalFormatting sqref="D42:O42">
    <cfRule type="expression" dxfId="31" priority="370">
      <formula>$F$37&lt;21</formula>
    </cfRule>
  </conditionalFormatting>
  <conditionalFormatting sqref="D43:O43">
    <cfRule type="expression" dxfId="30" priority="371">
      <formula>$F$37&lt;41</formula>
    </cfRule>
  </conditionalFormatting>
  <conditionalFormatting sqref="D44:O44">
    <cfRule type="expression" dxfId="29" priority="372">
      <formula>$F$37&lt;61</formula>
    </cfRule>
  </conditionalFormatting>
  <conditionalFormatting sqref="D45:O45">
    <cfRule type="expression" dxfId="28" priority="373">
      <formula>$F$37&lt;81</formula>
    </cfRule>
  </conditionalFormatting>
  <conditionalFormatting sqref="D46:O46">
    <cfRule type="expression" dxfId="27" priority="374">
      <formula>$F$37&lt;101</formula>
    </cfRule>
  </conditionalFormatting>
  <conditionalFormatting sqref="D47:O47">
    <cfRule type="expression" dxfId="26" priority="375">
      <formula>$F$37&lt;201</formula>
    </cfRule>
  </conditionalFormatting>
  <conditionalFormatting sqref="D48:O48">
    <cfRule type="expression" dxfId="25" priority="376">
      <formula>$F$37&lt;1001</formula>
    </cfRule>
  </conditionalFormatting>
  <conditionalFormatting sqref="L41">
    <cfRule type="expression" dxfId="24" priority="39">
      <formula>$F$37&lt;1</formula>
    </cfRule>
  </conditionalFormatting>
  <conditionalFormatting sqref="L42">
    <cfRule type="expression" dxfId="23" priority="40">
      <formula>$F$37&lt;21</formula>
    </cfRule>
  </conditionalFormatting>
  <conditionalFormatting sqref="L43">
    <cfRule type="expression" dxfId="22" priority="41">
      <formula>$F$37&lt;41</formula>
    </cfRule>
  </conditionalFormatting>
  <conditionalFormatting sqref="L44">
    <cfRule type="expression" dxfId="21" priority="42">
      <formula>$F$37&lt;61</formula>
    </cfRule>
  </conditionalFormatting>
  <conditionalFormatting sqref="L45">
    <cfRule type="expression" dxfId="20" priority="43">
      <formula>$F$37&lt;81</formula>
    </cfRule>
  </conditionalFormatting>
  <conditionalFormatting sqref="L46">
    <cfRule type="expression" dxfId="19" priority="44">
      <formula>$F$37&lt;101</formula>
    </cfRule>
  </conditionalFormatting>
  <conditionalFormatting sqref="L47">
    <cfRule type="expression" dxfId="18" priority="45">
      <formula>$F$37&lt;201</formula>
    </cfRule>
  </conditionalFormatting>
  <conditionalFormatting sqref="L48">
    <cfRule type="expression" dxfId="17" priority="46">
      <formula>$F$37&lt;1001</formula>
    </cfRule>
  </conditionalFormatting>
  <conditionalFormatting sqref="D28:O28">
    <cfRule type="expression" dxfId="16" priority="360">
      <formula>$F$24&lt;1</formula>
    </cfRule>
  </conditionalFormatting>
  <conditionalFormatting sqref="D29:O29">
    <cfRule type="expression" dxfId="15" priority="362">
      <formula>$F$24&lt;21</formula>
    </cfRule>
  </conditionalFormatting>
  <conditionalFormatting sqref="D30:O30">
    <cfRule type="expression" dxfId="14" priority="364">
      <formula>$F$24&lt;41</formula>
    </cfRule>
  </conditionalFormatting>
  <conditionalFormatting sqref="D31:O31">
    <cfRule type="expression" dxfId="13" priority="366">
      <formula>$F$24&lt;81</formula>
    </cfRule>
  </conditionalFormatting>
  <conditionalFormatting sqref="D32:O32">
    <cfRule type="expression" dxfId="12" priority="368">
      <formula>$F$24&lt;161</formula>
    </cfRule>
  </conditionalFormatting>
  <conditionalFormatting sqref="C12">
    <cfRule type="expression" dxfId="11" priority="378">
      <formula>F7="井戸水のみ"</formula>
    </cfRule>
  </conditionalFormatting>
  <conditionalFormatting sqref="F12">
    <cfRule type="expression" dxfId="10" priority="380">
      <formula>F7="井戸水のみ"</formula>
    </cfRule>
  </conditionalFormatting>
  <conditionalFormatting sqref="G12">
    <cfRule type="expression" dxfId="9" priority="382">
      <formula>F7="井戸水のみ"</formula>
    </cfRule>
  </conditionalFormatting>
  <conditionalFormatting sqref="C11">
    <cfRule type="expression" dxfId="8" priority="18">
      <formula>$F$6="水道と井戸水の併用"</formula>
    </cfRule>
    <cfRule type="expression" dxfId="7" priority="20">
      <formula>$F$6="井戸水のみ"</formula>
    </cfRule>
  </conditionalFormatting>
  <conditionalFormatting sqref="F24:G24 F37:G37 K28:L32 K41:L48">
    <cfRule type="expression" dxfId="6" priority="383">
      <formula>$K$13=1</formula>
    </cfRule>
  </conditionalFormatting>
  <conditionalFormatting sqref="I11">
    <cfRule type="expression" dxfId="5" priority="16">
      <formula>$F$6="水道と井戸水の併用"</formula>
    </cfRule>
    <cfRule type="expression" dxfId="4" priority="17">
      <formula>$F$6="井戸水のみ"</formula>
    </cfRule>
  </conditionalFormatting>
  <conditionalFormatting sqref="C53:F53 C52:E52">
    <cfRule type="expression" dxfId="3" priority="4">
      <formula>$F$6&lt;&gt;"水道のみ"</formula>
    </cfRule>
  </conditionalFormatting>
  <conditionalFormatting sqref="C13:J13 L13">
    <cfRule type="expression" dxfId="2" priority="15">
      <formula>$I$11="いいえ"</formula>
    </cfRule>
    <cfRule type="expression" dxfId="1" priority="19">
      <formula>$F$6="水道と井戸水の併用"</formula>
    </cfRule>
    <cfRule type="expression" dxfId="0" priority="34">
      <formula>$F$6="井戸水のみ"</formula>
    </cfRule>
  </conditionalFormatting>
  <dataValidations count="7">
    <dataValidation type="list" allowBlank="1" showInputMessage="1" showErrorMessage="1" sqref="F6:F7">
      <formula1>"水道のみ,井戸水のみ,水道と井戸水の併用"</formula1>
    </dataValidation>
    <dataValidation type="list" allowBlank="1" showInputMessage="1" showErrorMessage="1" sqref="F8">
      <formula1>"家事用,家事以外用"</formula1>
    </dataValidation>
    <dataValidation type="list" allowBlank="1" showInputMessage="1" showErrorMessage="1" sqref="F9:F13">
      <formula1>"13,20,25,30,40,50,75,100,150"</formula1>
    </dataValidation>
    <dataValidation type="list" allowBlank="1" showInputMessage="1" showErrorMessage="1" sqref="F17">
      <formula1>"量水器（メーター）なし,量水器あり"</formula1>
    </dataValidation>
    <dataValidation type="whole" operator="greaterThanOrEqual" allowBlank="1" showInputMessage="1" showErrorMessage="1" sqref="F15 I13">
      <formula1>0</formula1>
    </dataValidation>
    <dataValidation type="list" allowBlank="1" showInputMessage="1" showErrorMessage="1" sqref="I11">
      <formula1>"はい,いいえ"</formula1>
    </dataValidation>
    <dataValidation type="list" allowBlank="1" showInputMessage="1" showErrorMessage="1" sqref="F4">
      <formula1>"１０％,８％"</formula1>
    </dataValidation>
  </dataValidations>
  <pageMargins left="0.75" right="0.75" top="1" bottom="1" header="0.51200000000000001" footer="0.51200000000000001"/>
  <pageSetup paperSize="9" scale="67" orientation="portrait" r:id="rId1"/>
  <headerFooter alignWithMargins="0"/>
  <colBreaks count="1" manualBreakCount="1">
    <brk id="16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J57"/>
  <sheetViews>
    <sheetView workbookViewId="0"/>
  </sheetViews>
  <sheetFormatPr defaultColWidth="9" defaultRowHeight="20.100000000000001" customHeight="1"/>
  <cols>
    <col min="2" max="2" width="13" bestFit="1" customWidth="1"/>
    <col min="3" max="3" width="9" bestFit="1" customWidth="1"/>
    <col min="4" max="4" width="3.375" bestFit="1" customWidth="1"/>
    <col min="5" max="5" width="7.375" bestFit="1" customWidth="1"/>
    <col min="6" max="6" width="13.125" bestFit="1" customWidth="1"/>
    <col min="7" max="7" width="12.875" bestFit="1" customWidth="1"/>
    <col min="8" max="8" width="16" customWidth="1"/>
  </cols>
  <sheetData>
    <row r="1" spans="2:10" ht="20.100000000000001" customHeight="1">
      <c r="B1" s="3" t="s">
        <v>22</v>
      </c>
      <c r="H1" s="3" t="s">
        <v>62</v>
      </c>
    </row>
    <row r="2" spans="2:10" ht="20.100000000000001" customHeight="1">
      <c r="B2" s="40">
        <v>0.08</v>
      </c>
      <c r="H2" s="40">
        <v>0.1</v>
      </c>
    </row>
    <row r="3" spans="2:10" ht="20.100000000000001" customHeight="1">
      <c r="B3" s="3" t="s">
        <v>27</v>
      </c>
    </row>
    <row r="4" spans="2:10" ht="20.100000000000001" customHeight="1">
      <c r="B4" t="s">
        <v>28</v>
      </c>
    </row>
    <row r="5" spans="2:10" ht="20.100000000000001" customHeight="1">
      <c r="B5" s="33"/>
      <c r="C5" s="96" t="s">
        <v>29</v>
      </c>
      <c r="D5" s="97"/>
      <c r="E5" s="98"/>
      <c r="F5" s="25" t="s">
        <v>23</v>
      </c>
      <c r="G5" s="45" t="s">
        <v>24</v>
      </c>
      <c r="H5" s="45" t="s">
        <v>63</v>
      </c>
      <c r="J5" s="83" t="s">
        <v>66</v>
      </c>
    </row>
    <row r="6" spans="2:10" ht="20.100000000000001" customHeight="1">
      <c r="B6" s="99" t="s">
        <v>0</v>
      </c>
      <c r="C6" s="102">
        <v>13</v>
      </c>
      <c r="D6" s="103"/>
      <c r="E6" s="104"/>
      <c r="F6" s="35">
        <f>G6*(1+$B$2)</f>
        <v>810</v>
      </c>
      <c r="G6" s="39">
        <v>750</v>
      </c>
      <c r="H6" s="39">
        <f>G6*(1+$H$2)</f>
        <v>825.00000000000011</v>
      </c>
      <c r="J6" s="82">
        <f>H6*2</f>
        <v>1650.0000000000002</v>
      </c>
    </row>
    <row r="7" spans="2:10" ht="20.100000000000001" customHeight="1">
      <c r="B7" s="100"/>
      <c r="C7" s="102">
        <v>20</v>
      </c>
      <c r="D7" s="103"/>
      <c r="E7" s="104"/>
      <c r="F7" s="35">
        <f t="shared" ref="F7:F14" si="0">G7*(1+$B$2)</f>
        <v>1026</v>
      </c>
      <c r="G7" s="39">
        <v>950</v>
      </c>
      <c r="H7" s="39">
        <f t="shared" ref="H7:H14" si="1">G7*(1+$H$2)</f>
        <v>1045</v>
      </c>
      <c r="J7" s="82">
        <f t="shared" ref="J7:J14" si="2">H7*2</f>
        <v>2090</v>
      </c>
    </row>
    <row r="8" spans="2:10" ht="20.100000000000001" customHeight="1">
      <c r="B8" s="100"/>
      <c r="C8" s="102">
        <v>25</v>
      </c>
      <c r="D8" s="103"/>
      <c r="E8" s="104"/>
      <c r="F8" s="35">
        <f t="shared" si="0"/>
        <v>1636.2</v>
      </c>
      <c r="G8" s="39">
        <v>1515</v>
      </c>
      <c r="H8" s="39">
        <f t="shared" si="1"/>
        <v>1666.5000000000002</v>
      </c>
      <c r="J8" s="82">
        <f t="shared" si="2"/>
        <v>3333.0000000000005</v>
      </c>
    </row>
    <row r="9" spans="2:10" ht="20.100000000000001" customHeight="1">
      <c r="B9" s="100"/>
      <c r="C9" s="102">
        <v>30</v>
      </c>
      <c r="D9" s="103"/>
      <c r="E9" s="104"/>
      <c r="F9" s="35">
        <f t="shared" si="0"/>
        <v>2430</v>
      </c>
      <c r="G9" s="39">
        <v>2250</v>
      </c>
      <c r="H9" s="39">
        <f t="shared" si="1"/>
        <v>2475</v>
      </c>
      <c r="J9" s="82">
        <f t="shared" si="2"/>
        <v>4950</v>
      </c>
    </row>
    <row r="10" spans="2:10" ht="20.100000000000001" customHeight="1">
      <c r="B10" s="100"/>
      <c r="C10" s="102">
        <v>40</v>
      </c>
      <c r="D10" s="103"/>
      <c r="E10" s="104"/>
      <c r="F10" s="35">
        <f t="shared" si="0"/>
        <v>2775.6000000000004</v>
      </c>
      <c r="G10" s="39">
        <v>2570</v>
      </c>
      <c r="H10" s="39">
        <f t="shared" si="1"/>
        <v>2827.0000000000005</v>
      </c>
      <c r="J10" s="82">
        <f t="shared" si="2"/>
        <v>5654.0000000000009</v>
      </c>
    </row>
    <row r="11" spans="2:10" ht="20.100000000000001" customHeight="1">
      <c r="B11" s="100"/>
      <c r="C11" s="102">
        <v>50</v>
      </c>
      <c r="D11" s="103"/>
      <c r="E11" s="104"/>
      <c r="F11" s="35">
        <f t="shared" si="0"/>
        <v>5362.2000000000007</v>
      </c>
      <c r="G11" s="39">
        <v>4965</v>
      </c>
      <c r="H11" s="39">
        <f t="shared" si="1"/>
        <v>5461.5</v>
      </c>
      <c r="J11" s="82">
        <f t="shared" si="2"/>
        <v>10923</v>
      </c>
    </row>
    <row r="12" spans="2:10" ht="20.100000000000001" customHeight="1">
      <c r="B12" s="100"/>
      <c r="C12" s="102">
        <v>75</v>
      </c>
      <c r="D12" s="103"/>
      <c r="E12" s="104"/>
      <c r="F12" s="35">
        <f t="shared" si="0"/>
        <v>9968.4000000000015</v>
      </c>
      <c r="G12" s="39">
        <v>9230</v>
      </c>
      <c r="H12" s="39">
        <f t="shared" si="1"/>
        <v>10153</v>
      </c>
      <c r="J12" s="82">
        <f t="shared" si="2"/>
        <v>20306</v>
      </c>
    </row>
    <row r="13" spans="2:10" ht="20.100000000000001" customHeight="1">
      <c r="B13" s="100"/>
      <c r="C13" s="102">
        <v>100</v>
      </c>
      <c r="D13" s="103"/>
      <c r="E13" s="104"/>
      <c r="F13" s="35">
        <f t="shared" si="0"/>
        <v>19785.600000000002</v>
      </c>
      <c r="G13" s="39">
        <v>18320</v>
      </c>
      <c r="H13" s="39">
        <f t="shared" si="1"/>
        <v>20152</v>
      </c>
      <c r="J13" s="82">
        <f t="shared" si="2"/>
        <v>40304</v>
      </c>
    </row>
    <row r="14" spans="2:10" ht="20.100000000000001" customHeight="1">
      <c r="B14" s="101"/>
      <c r="C14" s="102">
        <v>150</v>
      </c>
      <c r="D14" s="103"/>
      <c r="E14" s="104"/>
      <c r="F14" s="35">
        <f t="shared" si="0"/>
        <v>45543.600000000006</v>
      </c>
      <c r="G14" s="39">
        <v>42170</v>
      </c>
      <c r="H14" s="39">
        <f t="shared" si="1"/>
        <v>46387.000000000007</v>
      </c>
      <c r="J14" s="82">
        <f t="shared" si="2"/>
        <v>92774.000000000015</v>
      </c>
    </row>
    <row r="15" spans="2:10" ht="20.100000000000001" customHeight="1">
      <c r="B15" s="44"/>
      <c r="C15" s="96" t="s">
        <v>34</v>
      </c>
      <c r="D15" s="97"/>
      <c r="E15" s="98"/>
      <c r="F15" s="25" t="s">
        <v>23</v>
      </c>
      <c r="G15" s="45" t="s">
        <v>24</v>
      </c>
      <c r="H15" s="45" t="s">
        <v>63</v>
      </c>
    </row>
    <row r="16" spans="2:10" ht="20.100000000000001" customHeight="1">
      <c r="B16" s="108" t="s">
        <v>35</v>
      </c>
      <c r="C16" s="36">
        <v>1</v>
      </c>
      <c r="D16" s="34" t="s">
        <v>4</v>
      </c>
      <c r="E16" s="37">
        <v>20</v>
      </c>
      <c r="F16" s="35">
        <f t="shared" ref="F16:F20" si="3">G16*(1+$B$2)</f>
        <v>50.760000000000005</v>
      </c>
      <c r="G16" s="39">
        <v>47</v>
      </c>
      <c r="H16" s="39">
        <f>G16*(1+$H$2)</f>
        <v>51.7</v>
      </c>
    </row>
    <row r="17" spans="2:10" ht="20.100000000000001" customHeight="1">
      <c r="B17" s="109"/>
      <c r="C17" s="36">
        <v>21</v>
      </c>
      <c r="D17" s="34" t="s">
        <v>4</v>
      </c>
      <c r="E17" s="37">
        <v>40</v>
      </c>
      <c r="F17" s="35">
        <f t="shared" si="3"/>
        <v>226.8</v>
      </c>
      <c r="G17" s="39">
        <v>210</v>
      </c>
      <c r="H17" s="39">
        <f t="shared" ref="H17:H20" si="4">G17*(1+$H$2)</f>
        <v>231.00000000000003</v>
      </c>
    </row>
    <row r="18" spans="2:10" ht="20.100000000000001" customHeight="1">
      <c r="B18" s="109"/>
      <c r="C18" s="36">
        <v>41</v>
      </c>
      <c r="D18" s="34" t="s">
        <v>4</v>
      </c>
      <c r="E18" s="37">
        <v>80</v>
      </c>
      <c r="F18" s="35">
        <f t="shared" si="3"/>
        <v>259.20000000000005</v>
      </c>
      <c r="G18" s="39">
        <v>240</v>
      </c>
      <c r="H18" s="39">
        <f t="shared" si="4"/>
        <v>264</v>
      </c>
    </row>
    <row r="19" spans="2:10" ht="20.100000000000001" customHeight="1">
      <c r="B19" s="109"/>
      <c r="C19" s="36">
        <v>81</v>
      </c>
      <c r="D19" s="34" t="s">
        <v>4</v>
      </c>
      <c r="E19" s="37">
        <v>160</v>
      </c>
      <c r="F19" s="35">
        <f t="shared" si="3"/>
        <v>302.40000000000003</v>
      </c>
      <c r="G19" s="39">
        <v>280</v>
      </c>
      <c r="H19" s="39">
        <f t="shared" si="4"/>
        <v>308</v>
      </c>
    </row>
    <row r="20" spans="2:10" ht="20.100000000000001" customHeight="1">
      <c r="B20" s="110"/>
      <c r="C20" s="36">
        <v>161</v>
      </c>
      <c r="D20" s="34" t="s">
        <v>4</v>
      </c>
      <c r="E20" s="37"/>
      <c r="F20" s="35">
        <f t="shared" si="3"/>
        <v>345.6</v>
      </c>
      <c r="G20" s="39">
        <v>320</v>
      </c>
      <c r="H20" s="39">
        <f t="shared" si="4"/>
        <v>352</v>
      </c>
    </row>
    <row r="21" spans="2:10" ht="20.100000000000001" customHeight="1">
      <c r="B21" s="3" t="s">
        <v>27</v>
      </c>
    </row>
    <row r="22" spans="2:10" ht="20.100000000000001" customHeight="1">
      <c r="B22" t="s">
        <v>30</v>
      </c>
    </row>
    <row r="23" spans="2:10" ht="20.100000000000001" customHeight="1">
      <c r="B23" s="33"/>
      <c r="C23" s="96" t="s">
        <v>29</v>
      </c>
      <c r="D23" s="97"/>
      <c r="E23" s="98"/>
      <c r="F23" s="25" t="s">
        <v>23</v>
      </c>
      <c r="G23" s="45" t="s">
        <v>24</v>
      </c>
      <c r="H23" s="45" t="s">
        <v>63</v>
      </c>
      <c r="J23" s="83" t="s">
        <v>66</v>
      </c>
    </row>
    <row r="24" spans="2:10" ht="20.100000000000001" customHeight="1">
      <c r="B24" s="99" t="s">
        <v>0</v>
      </c>
      <c r="C24" s="102">
        <v>13</v>
      </c>
      <c r="D24" s="103"/>
      <c r="E24" s="104"/>
      <c r="F24" s="35">
        <f>G24*(1+$B$2)</f>
        <v>810</v>
      </c>
      <c r="G24" s="39">
        <f>G6</f>
        <v>750</v>
      </c>
      <c r="H24" s="39">
        <f>G24*(1+$H$2)</f>
        <v>825.00000000000011</v>
      </c>
      <c r="J24" s="82">
        <f t="shared" ref="J24:J32" si="5">H24*2</f>
        <v>1650.0000000000002</v>
      </c>
    </row>
    <row r="25" spans="2:10" ht="20.100000000000001" customHeight="1">
      <c r="B25" s="100"/>
      <c r="C25" s="102">
        <v>20</v>
      </c>
      <c r="D25" s="103"/>
      <c r="E25" s="104"/>
      <c r="F25" s="35">
        <f t="shared" ref="F25:F32" si="6">G25*(1+$B$2)</f>
        <v>1026</v>
      </c>
      <c r="G25" s="39">
        <f t="shared" ref="G25:G32" si="7">G7</f>
        <v>950</v>
      </c>
      <c r="H25" s="39">
        <f t="shared" ref="H25:H32" si="8">G25*(1+$H$2)</f>
        <v>1045</v>
      </c>
      <c r="J25" s="82">
        <f t="shared" si="5"/>
        <v>2090</v>
      </c>
    </row>
    <row r="26" spans="2:10" ht="20.100000000000001" customHeight="1">
      <c r="B26" s="100"/>
      <c r="C26" s="102">
        <v>25</v>
      </c>
      <c r="D26" s="103"/>
      <c r="E26" s="104"/>
      <c r="F26" s="35">
        <f t="shared" si="6"/>
        <v>1636.2</v>
      </c>
      <c r="G26" s="39">
        <f t="shared" si="7"/>
        <v>1515</v>
      </c>
      <c r="H26" s="39">
        <f t="shared" si="8"/>
        <v>1666.5000000000002</v>
      </c>
      <c r="J26" s="82">
        <f t="shared" si="5"/>
        <v>3333.0000000000005</v>
      </c>
    </row>
    <row r="27" spans="2:10" ht="20.100000000000001" customHeight="1">
      <c r="B27" s="100"/>
      <c r="C27" s="102">
        <v>30</v>
      </c>
      <c r="D27" s="103"/>
      <c r="E27" s="104"/>
      <c r="F27" s="35">
        <f t="shared" si="6"/>
        <v>2430</v>
      </c>
      <c r="G27" s="39">
        <f t="shared" si="7"/>
        <v>2250</v>
      </c>
      <c r="H27" s="39">
        <f t="shared" si="8"/>
        <v>2475</v>
      </c>
      <c r="J27" s="82">
        <f t="shared" si="5"/>
        <v>4950</v>
      </c>
    </row>
    <row r="28" spans="2:10" ht="20.100000000000001" customHeight="1">
      <c r="B28" s="100"/>
      <c r="C28" s="102">
        <v>40</v>
      </c>
      <c r="D28" s="103"/>
      <c r="E28" s="104"/>
      <c r="F28" s="35">
        <f t="shared" si="6"/>
        <v>2775.6000000000004</v>
      </c>
      <c r="G28" s="39">
        <f t="shared" si="7"/>
        <v>2570</v>
      </c>
      <c r="H28" s="39">
        <f t="shared" si="8"/>
        <v>2827.0000000000005</v>
      </c>
      <c r="J28" s="82">
        <f t="shared" si="5"/>
        <v>5654.0000000000009</v>
      </c>
    </row>
    <row r="29" spans="2:10" ht="20.100000000000001" customHeight="1">
      <c r="B29" s="100"/>
      <c r="C29" s="102">
        <v>50</v>
      </c>
      <c r="D29" s="103"/>
      <c r="E29" s="104"/>
      <c r="F29" s="35">
        <f t="shared" si="6"/>
        <v>5362.2000000000007</v>
      </c>
      <c r="G29" s="39">
        <f t="shared" si="7"/>
        <v>4965</v>
      </c>
      <c r="H29" s="39">
        <f t="shared" si="8"/>
        <v>5461.5</v>
      </c>
      <c r="J29" s="82">
        <f t="shared" si="5"/>
        <v>10923</v>
      </c>
    </row>
    <row r="30" spans="2:10" ht="20.100000000000001" customHeight="1">
      <c r="B30" s="100"/>
      <c r="C30" s="102">
        <v>75</v>
      </c>
      <c r="D30" s="103"/>
      <c r="E30" s="104"/>
      <c r="F30" s="35">
        <f t="shared" si="6"/>
        <v>9968.4000000000015</v>
      </c>
      <c r="G30" s="39">
        <f t="shared" si="7"/>
        <v>9230</v>
      </c>
      <c r="H30" s="39">
        <f t="shared" si="8"/>
        <v>10153</v>
      </c>
      <c r="J30" s="82">
        <f t="shared" si="5"/>
        <v>20306</v>
      </c>
    </row>
    <row r="31" spans="2:10" ht="20.100000000000001" customHeight="1">
      <c r="B31" s="100"/>
      <c r="C31" s="102">
        <v>100</v>
      </c>
      <c r="D31" s="103"/>
      <c r="E31" s="104"/>
      <c r="F31" s="35">
        <f t="shared" si="6"/>
        <v>19785.600000000002</v>
      </c>
      <c r="G31" s="39">
        <f t="shared" si="7"/>
        <v>18320</v>
      </c>
      <c r="H31" s="39">
        <f t="shared" si="8"/>
        <v>20152</v>
      </c>
      <c r="J31" s="82">
        <f t="shared" si="5"/>
        <v>40304</v>
      </c>
    </row>
    <row r="32" spans="2:10" ht="20.100000000000001" customHeight="1">
      <c r="B32" s="101"/>
      <c r="C32" s="102">
        <v>150</v>
      </c>
      <c r="D32" s="103"/>
      <c r="E32" s="104"/>
      <c r="F32" s="35">
        <f t="shared" si="6"/>
        <v>45543.600000000006</v>
      </c>
      <c r="G32" s="39">
        <f t="shared" si="7"/>
        <v>42170</v>
      </c>
      <c r="H32" s="39">
        <f t="shared" si="8"/>
        <v>46387.000000000007</v>
      </c>
      <c r="J32" s="82">
        <f t="shared" si="5"/>
        <v>92774.000000000015</v>
      </c>
    </row>
    <row r="33" spans="2:10" ht="20.100000000000001" customHeight="1">
      <c r="B33" s="44"/>
      <c r="C33" s="96" t="s">
        <v>34</v>
      </c>
      <c r="D33" s="97"/>
      <c r="E33" s="98"/>
      <c r="F33" s="25" t="s">
        <v>23</v>
      </c>
      <c r="G33" s="45" t="s">
        <v>24</v>
      </c>
      <c r="H33" s="45" t="s">
        <v>63</v>
      </c>
    </row>
    <row r="34" spans="2:10" ht="20.100000000000001" customHeight="1">
      <c r="B34" s="108" t="s">
        <v>35</v>
      </c>
      <c r="C34" s="36">
        <v>1</v>
      </c>
      <c r="D34" s="34" t="s">
        <v>4</v>
      </c>
      <c r="E34" s="37">
        <v>20</v>
      </c>
      <c r="F34" s="35">
        <f t="shared" ref="F34:F38" si="9">G34*(1+$B$2)</f>
        <v>50.760000000000005</v>
      </c>
      <c r="G34" s="39">
        <v>47</v>
      </c>
      <c r="H34" s="39">
        <f>G34*(1+$H$2)</f>
        <v>51.7</v>
      </c>
    </row>
    <row r="35" spans="2:10" ht="20.100000000000001" customHeight="1">
      <c r="B35" s="109"/>
      <c r="C35" s="36">
        <v>21</v>
      </c>
      <c r="D35" s="34" t="s">
        <v>4</v>
      </c>
      <c r="E35" s="37">
        <v>40</v>
      </c>
      <c r="F35" s="35">
        <f t="shared" si="9"/>
        <v>237.60000000000002</v>
      </c>
      <c r="G35" s="39">
        <v>220</v>
      </c>
      <c r="H35" s="39">
        <f t="shared" ref="H35:H38" si="10">G35*(1+$H$2)</f>
        <v>242.00000000000003</v>
      </c>
    </row>
    <row r="36" spans="2:10" ht="20.100000000000001" customHeight="1">
      <c r="B36" s="109"/>
      <c r="C36" s="36">
        <v>41</v>
      </c>
      <c r="D36" s="34" t="s">
        <v>4</v>
      </c>
      <c r="E36" s="37">
        <v>80</v>
      </c>
      <c r="F36" s="35">
        <f t="shared" si="9"/>
        <v>270</v>
      </c>
      <c r="G36" s="39">
        <v>250</v>
      </c>
      <c r="H36" s="39">
        <f t="shared" si="10"/>
        <v>275</v>
      </c>
    </row>
    <row r="37" spans="2:10" ht="20.100000000000001" customHeight="1">
      <c r="B37" s="109"/>
      <c r="C37" s="36">
        <v>81</v>
      </c>
      <c r="D37" s="34" t="s">
        <v>4</v>
      </c>
      <c r="E37" s="37">
        <v>160</v>
      </c>
      <c r="F37" s="35">
        <f t="shared" si="9"/>
        <v>313.20000000000005</v>
      </c>
      <c r="G37" s="39">
        <v>290</v>
      </c>
      <c r="H37" s="39">
        <f t="shared" si="10"/>
        <v>319</v>
      </c>
    </row>
    <row r="38" spans="2:10" ht="20.100000000000001" customHeight="1">
      <c r="B38" s="110"/>
      <c r="C38" s="36">
        <v>161</v>
      </c>
      <c r="D38" s="34" t="s">
        <v>4</v>
      </c>
      <c r="E38" s="37"/>
      <c r="F38" s="35">
        <f t="shared" si="9"/>
        <v>356.40000000000003</v>
      </c>
      <c r="G38" s="39">
        <v>330</v>
      </c>
      <c r="H38" s="39">
        <f t="shared" si="10"/>
        <v>363.00000000000006</v>
      </c>
    </row>
    <row r="39" spans="2:10" ht="20.100000000000001" customHeight="1">
      <c r="B39" s="46"/>
      <c r="C39" s="47"/>
      <c r="D39" s="38"/>
      <c r="E39" s="47"/>
      <c r="F39" s="24"/>
      <c r="G39" s="24"/>
    </row>
    <row r="40" spans="2:10" ht="20.100000000000001" customHeight="1">
      <c r="B40" s="3" t="s">
        <v>6</v>
      </c>
    </row>
    <row r="41" spans="2:10" ht="20.100000000000001" customHeight="1">
      <c r="B41" s="33"/>
      <c r="C41" s="96" t="s">
        <v>8</v>
      </c>
      <c r="D41" s="97"/>
      <c r="E41" s="98"/>
      <c r="F41" s="25" t="s">
        <v>32</v>
      </c>
      <c r="G41" s="45" t="s">
        <v>33</v>
      </c>
      <c r="H41" s="45" t="s">
        <v>63</v>
      </c>
      <c r="J41" s="83" t="s">
        <v>66</v>
      </c>
    </row>
    <row r="42" spans="2:10" ht="20.100000000000001" customHeight="1">
      <c r="B42" s="27" t="s">
        <v>7</v>
      </c>
      <c r="C42" s="105"/>
      <c r="D42" s="106"/>
      <c r="E42" s="107"/>
      <c r="F42" s="35">
        <f>G42*(1+$B$2)</f>
        <v>756</v>
      </c>
      <c r="G42" s="39">
        <v>700</v>
      </c>
      <c r="H42" s="39">
        <f>G42*(1+$H$2)</f>
        <v>770.00000000000011</v>
      </c>
      <c r="J42" s="82">
        <f t="shared" ref="J42" si="11">H42*2</f>
        <v>1540.0000000000002</v>
      </c>
    </row>
    <row r="43" spans="2:10" ht="20.100000000000001" customHeight="1">
      <c r="B43" s="108" t="s">
        <v>9</v>
      </c>
      <c r="C43" s="36">
        <v>1</v>
      </c>
      <c r="D43" s="34" t="s">
        <v>4</v>
      </c>
      <c r="E43" s="37">
        <v>20</v>
      </c>
      <c r="F43" s="35">
        <f t="shared" ref="F43:F50" si="12">G43*(1+$B$2)</f>
        <v>58.320000000000007</v>
      </c>
      <c r="G43" s="39">
        <v>54</v>
      </c>
      <c r="H43" s="39">
        <f t="shared" ref="H43:H50" si="13">G43*(1+$H$2)</f>
        <v>59.400000000000006</v>
      </c>
    </row>
    <row r="44" spans="2:10" ht="20.100000000000001" customHeight="1">
      <c r="B44" s="109"/>
      <c r="C44" s="36">
        <v>21</v>
      </c>
      <c r="D44" s="34" t="s">
        <v>4</v>
      </c>
      <c r="E44" s="37">
        <v>40</v>
      </c>
      <c r="F44" s="35">
        <f t="shared" si="12"/>
        <v>177.12</v>
      </c>
      <c r="G44" s="39">
        <v>164</v>
      </c>
      <c r="H44" s="39">
        <f t="shared" si="13"/>
        <v>180.4</v>
      </c>
    </row>
    <row r="45" spans="2:10" ht="20.100000000000001" customHeight="1">
      <c r="B45" s="109"/>
      <c r="C45" s="36">
        <v>41</v>
      </c>
      <c r="D45" s="34" t="s">
        <v>4</v>
      </c>
      <c r="E45" s="37">
        <v>60</v>
      </c>
      <c r="F45" s="35">
        <f t="shared" si="12"/>
        <v>210.60000000000002</v>
      </c>
      <c r="G45" s="39">
        <v>195</v>
      </c>
      <c r="H45" s="39">
        <f t="shared" si="13"/>
        <v>214.50000000000003</v>
      </c>
    </row>
    <row r="46" spans="2:10" ht="20.100000000000001" customHeight="1">
      <c r="B46" s="109"/>
      <c r="C46" s="36">
        <v>61</v>
      </c>
      <c r="D46" s="34" t="s">
        <v>4</v>
      </c>
      <c r="E46" s="37">
        <v>80</v>
      </c>
      <c r="F46" s="35">
        <f t="shared" si="12"/>
        <v>220.32000000000002</v>
      </c>
      <c r="G46" s="39">
        <v>204</v>
      </c>
      <c r="H46" s="39">
        <f t="shared" si="13"/>
        <v>224.4</v>
      </c>
    </row>
    <row r="47" spans="2:10" ht="20.100000000000001" customHeight="1">
      <c r="B47" s="109"/>
      <c r="C47" s="36">
        <v>81</v>
      </c>
      <c r="D47" s="34" t="s">
        <v>4</v>
      </c>
      <c r="E47" s="37">
        <v>100</v>
      </c>
      <c r="F47" s="35">
        <f t="shared" si="12"/>
        <v>267.84000000000003</v>
      </c>
      <c r="G47" s="39">
        <v>248</v>
      </c>
      <c r="H47" s="39">
        <f t="shared" si="13"/>
        <v>272.8</v>
      </c>
    </row>
    <row r="48" spans="2:10" ht="20.100000000000001" customHeight="1">
      <c r="B48" s="109"/>
      <c r="C48" s="36">
        <v>101</v>
      </c>
      <c r="D48" s="34" t="s">
        <v>4</v>
      </c>
      <c r="E48" s="37">
        <v>200</v>
      </c>
      <c r="F48" s="35">
        <f t="shared" si="12"/>
        <v>279.72000000000003</v>
      </c>
      <c r="G48" s="39">
        <v>259</v>
      </c>
      <c r="H48" s="39">
        <f t="shared" si="13"/>
        <v>284.90000000000003</v>
      </c>
    </row>
    <row r="49" spans="2:8" ht="20.100000000000001" customHeight="1">
      <c r="B49" s="109"/>
      <c r="C49" s="36">
        <v>201</v>
      </c>
      <c r="D49" s="34" t="s">
        <v>4</v>
      </c>
      <c r="E49" s="37">
        <v>1000</v>
      </c>
      <c r="F49" s="35">
        <f t="shared" si="12"/>
        <v>332.64000000000004</v>
      </c>
      <c r="G49" s="39">
        <v>308</v>
      </c>
      <c r="H49" s="39">
        <f t="shared" si="13"/>
        <v>338.8</v>
      </c>
    </row>
    <row r="50" spans="2:8" ht="20.100000000000001" customHeight="1">
      <c r="B50" s="110"/>
      <c r="C50" s="36">
        <v>1001</v>
      </c>
      <c r="D50" s="34" t="s">
        <v>4</v>
      </c>
      <c r="E50" s="37"/>
      <c r="F50" s="35">
        <f t="shared" si="12"/>
        <v>345.6</v>
      </c>
      <c r="G50" s="39">
        <v>320</v>
      </c>
      <c r="H50" s="39">
        <f t="shared" si="13"/>
        <v>352</v>
      </c>
    </row>
    <row r="51" spans="2:8" ht="20.100000000000001" customHeight="1">
      <c r="B51" t="s">
        <v>31</v>
      </c>
    </row>
    <row r="52" spans="2:8" ht="20.100000000000001" customHeight="1">
      <c r="B52" s="27" t="s">
        <v>18</v>
      </c>
      <c r="C52" s="26" t="s">
        <v>19</v>
      </c>
      <c r="D52" s="38"/>
      <c r="E52" s="38"/>
    </row>
    <row r="53" spans="2:8" ht="20.100000000000001" customHeight="1">
      <c r="B53" s="41">
        <v>0</v>
      </c>
      <c r="C53" s="42">
        <v>0</v>
      </c>
      <c r="D53" s="38"/>
      <c r="E53" s="38"/>
    </row>
    <row r="54" spans="2:8" ht="20.100000000000001" customHeight="1">
      <c r="B54" s="41">
        <v>1</v>
      </c>
      <c r="C54" s="42">
        <v>20</v>
      </c>
      <c r="D54" s="38"/>
      <c r="E54" s="38"/>
    </row>
    <row r="55" spans="2:8" ht="20.100000000000001" customHeight="1">
      <c r="B55" s="41">
        <v>2</v>
      </c>
      <c r="C55" s="42">
        <v>32</v>
      </c>
      <c r="D55" s="38"/>
      <c r="E55" s="38"/>
    </row>
    <row r="56" spans="2:8" ht="20.100000000000001" customHeight="1">
      <c r="B56" s="41">
        <v>3</v>
      </c>
      <c r="C56" s="42">
        <v>40</v>
      </c>
      <c r="D56" s="38"/>
      <c r="E56" s="38"/>
    </row>
    <row r="57" spans="2:8" ht="20.100000000000001" customHeight="1">
      <c r="B57" s="43">
        <v>4</v>
      </c>
      <c r="C57" s="42">
        <v>48</v>
      </c>
      <c r="D57" s="38"/>
      <c r="E57" s="38"/>
    </row>
  </sheetData>
  <sheetProtection password="C765" sheet="1" objects="1" scenarios="1" selectLockedCells="1"/>
  <mergeCells count="29">
    <mergeCell ref="C41:E41"/>
    <mergeCell ref="C42:E42"/>
    <mergeCell ref="B43:B50"/>
    <mergeCell ref="C5:E5"/>
    <mergeCell ref="B16:B20"/>
    <mergeCell ref="C15:E15"/>
    <mergeCell ref="C6:E6"/>
    <mergeCell ref="C7:E7"/>
    <mergeCell ref="C8:E8"/>
    <mergeCell ref="C9:E9"/>
    <mergeCell ref="C10:E10"/>
    <mergeCell ref="C11:E11"/>
    <mergeCell ref="C12:E12"/>
    <mergeCell ref="C14:E14"/>
    <mergeCell ref="C33:E33"/>
    <mergeCell ref="B34:B38"/>
    <mergeCell ref="B6:B14"/>
    <mergeCell ref="C13:E13"/>
    <mergeCell ref="C23:E23"/>
    <mergeCell ref="B24:B32"/>
    <mergeCell ref="C24:E24"/>
    <mergeCell ref="C25:E25"/>
    <mergeCell ref="C26:E26"/>
    <mergeCell ref="C27:E27"/>
    <mergeCell ref="C28:E28"/>
    <mergeCell ref="C29:E29"/>
    <mergeCell ref="C30:E30"/>
    <mergeCell ref="C31:E31"/>
    <mergeCell ref="C32:E3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自動計算</vt:lpstr>
      <vt:lpstr>料金表</vt:lpstr>
      <vt:lpstr>自動計算!Print_Area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kasuga</dc:creator>
  <cp:lastModifiedBy>17 下水道課</cp:lastModifiedBy>
  <cp:lastPrinted>2018-01-18T07:57:08Z</cp:lastPrinted>
  <dcterms:created xsi:type="dcterms:W3CDTF">2004-02-24T05:03:09Z</dcterms:created>
  <dcterms:modified xsi:type="dcterms:W3CDTF">2019-12-27T05:43:06Z</dcterms:modified>
</cp:coreProperties>
</file>